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GB_SITE\suivi de l'execution du budget\SoldeDesCredits\"/>
    </mc:Choice>
  </mc:AlternateContent>
  <bookViews>
    <workbookView xWindow="0" yWindow="0" windowWidth="28800" windowHeight="12300" activeTab="1"/>
  </bookViews>
  <sheets>
    <sheet name="TEREDA_RESUME_" sheetId="2" r:id="rId1"/>
    <sheet name="execution_au_30-09-19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>#REF!</definedName>
    <definedName name="\L">#REF!</definedName>
    <definedName name="\M">#REF!</definedName>
    <definedName name="\S">#REF!</definedName>
    <definedName name="________abs1">#REF!</definedName>
    <definedName name="________abs2">#REF!</definedName>
    <definedName name="________abs3">#REF!</definedName>
    <definedName name="________aen1">#REF!</definedName>
    <definedName name="________aen2">#REF!</definedName>
    <definedName name="________bem98">[1]Programa!#REF!</definedName>
    <definedName name="________BOP1">#REF!</definedName>
    <definedName name="________BOP2">#REF!</definedName>
    <definedName name="________cap2">'[2]EVALUACIÓN PRIVADA'!#REF!</definedName>
    <definedName name="________cap3">'[2]EVALUACIÓN PRIVADA'!#REF!</definedName>
    <definedName name="________cas2">'[2]EVALUACIÓN SOCIOECONÓMICA'!#REF!</definedName>
    <definedName name="________cas3">'[2]EVALUACIÓN SOCIOECONÓMICA'!#REF!</definedName>
    <definedName name="________CEL96">#REF!</definedName>
    <definedName name="________cud21">#REF!</definedName>
    <definedName name="________dcc2000">#REF!</definedName>
    <definedName name="________dcc2001">#REF!</definedName>
    <definedName name="________dcc2002">#REF!</definedName>
    <definedName name="________dcc2003">#REF!</definedName>
    <definedName name="________dcc98">[1]Programa!#REF!</definedName>
    <definedName name="________dcc99">#REF!</definedName>
    <definedName name="________DES2">'[2]EVALUACIÓN PRIVADA'!#REF!</definedName>
    <definedName name="________DES3">'[2]EVALUACIÓN PRIVADA'!#REF!</definedName>
    <definedName name="________dic96">#REF!</definedName>
    <definedName name="________emi2000">#REF!</definedName>
    <definedName name="________emi2001">#REF!</definedName>
    <definedName name="________emi2002">#REF!</definedName>
    <definedName name="________emi2003">#REF!</definedName>
    <definedName name="________emi98">#REF!</definedName>
    <definedName name="________emi99">#REF!</definedName>
    <definedName name="________FIS96">#REF!</definedName>
    <definedName name="________Ind12">'[2]ANÁLISIS DE SENSIBILIDAD'!#REF!</definedName>
    <definedName name="________Ind17">'[2]ANÁLISIS DE SENSIBILIDAD'!#REF!</definedName>
    <definedName name="________Ind18">'[2]ANÁLISIS DE SENSIBILIDAD'!#REF!</definedName>
    <definedName name="________Ind22">'[2]ANÁLISIS DE SENSIBILIDAD'!#REF!</definedName>
    <definedName name="________Ind27">'[2]ANÁLISIS DE SENSIBILIDAD'!#REF!</definedName>
    <definedName name="________Ind28">'[2]ANÁLISIS DE SENSIBILIDAD'!#REF!</definedName>
    <definedName name="________Ind32">'[2]ANÁLISIS DE SENSIBILIDAD'!#REF!</definedName>
    <definedName name="________Ind41">[2]INDICADORES!#REF!</definedName>
    <definedName name="________Ind42">[2]INDICADORES!#REF!</definedName>
    <definedName name="________Ind43">[2]INDICADORES!#REF!</definedName>
    <definedName name="________INE1">#REF!</definedName>
    <definedName name="________ipc2000">#REF!</definedName>
    <definedName name="________ipc2001">#REF!</definedName>
    <definedName name="________ipc2002">#REF!</definedName>
    <definedName name="________ipc2003">#REF!</definedName>
    <definedName name="________ipc98">#REF!</definedName>
    <definedName name="________ipc99">#REF!</definedName>
    <definedName name="________me98">[1]Programa!#REF!</definedName>
    <definedName name="________mk14">[3]NFPEntps!#REF!</definedName>
    <definedName name="________npp2000">#REF!</definedName>
    <definedName name="________npp2001">#REF!</definedName>
    <definedName name="________npp2002">#REF!</definedName>
    <definedName name="________npp2003">#REF!</definedName>
    <definedName name="________npp98">#REF!</definedName>
    <definedName name="________npp99">#REF!</definedName>
    <definedName name="________OUT1">#REF!</definedName>
    <definedName name="________OUT2">'[4]Serv&amp;Trans'!#REF!</definedName>
    <definedName name="________OUT3">#REF!</definedName>
    <definedName name="________OUT4">#REF!</definedName>
    <definedName name="________OUT5">#REF!</definedName>
    <definedName name="________OUT6">#REF!</definedName>
    <definedName name="________OUT7">#REF!</definedName>
    <definedName name="________pib2000">#REF!</definedName>
    <definedName name="________pib2001">#REF!</definedName>
    <definedName name="________pib2002">#REF!</definedName>
    <definedName name="________pib2003">#REF!</definedName>
    <definedName name="________pib98">[1]Programa!#REF!</definedName>
    <definedName name="________pib99">#REF!</definedName>
    <definedName name="________POR96">#REF!</definedName>
    <definedName name="________PRN96">#REF!</definedName>
    <definedName name="________sel10">'[2]EVALUACIÓN SOCIOECONÓMICA'!#REF!</definedName>
    <definedName name="________sel11">'[2]EVALUACIÓN SOCIOECONÓMICA'!#REF!</definedName>
    <definedName name="________sel12">'[2]EVALUACIÓN PRIVADA'!#REF!</definedName>
    <definedName name="________sel13">'[2]EVALUACIÓN PRIVADA'!#REF!</definedName>
    <definedName name="________sel14">'[2]EVALUACIÓN PRIVADA'!#REF!</definedName>
    <definedName name="________sel16">'[2]EVALUACIÓN PRIVADA'!#REF!</definedName>
    <definedName name="________sel18">[2]FINANCIACIÓN!#REF!</definedName>
    <definedName name="________sel22">'[2]EVALUACIÓN PRIVADA'!#REF!</definedName>
    <definedName name="________sel23">'[2]EVALUACIÓN SOCIOECONÓMICA'!#REF!</definedName>
    <definedName name="________sel24">'[2]EVALUACIÓN SOCIOECONÓMICA'!#REF!</definedName>
    <definedName name="________sel31">'[2]EVALUACIÓN PRIVADA'!#REF!</definedName>
    <definedName name="________sel32">'[2]EVALUACIÓN PRIVADA'!#REF!</definedName>
    <definedName name="________sel33">'[2]EVALUACIÓN SOCIOECONÓMICA'!#REF!</definedName>
    <definedName name="________sel34">'[2]EVALUACIÓN SOCIOECONÓMICA'!#REF!</definedName>
    <definedName name="________sel5">[2]ALTERNATIVAS!#REF!</definedName>
    <definedName name="________sel6">'[2]EVALUACIÓN SOCIOECONÓMICA'!#REF!</definedName>
    <definedName name="________sel7">'[2]EVALUACIÓN SOCIOECONÓMICA'!#REF!</definedName>
    <definedName name="________sel8">'[2]EVALUACIÓN SOCIOECONÓMICA'!#REF!</definedName>
    <definedName name="________sel9">'[2]EVALUACIÓN SOCIOECONÓMICA'!#REF!</definedName>
    <definedName name="________SRN96">#REF!</definedName>
    <definedName name="________SRT11" localSheetId="0" hidden="1">{"Minpmon",#N/A,FALSE,"Monthinput"}</definedName>
    <definedName name="________SRT11" hidden="1">{"Minpmon",#N/A,FALSE,"Monthinput"}</definedName>
    <definedName name="________tAB4">#REF!</definedName>
    <definedName name="________tot2">'[2]EVALUACIÓN PRIVADA'!#REF!</definedName>
    <definedName name="________tot3">'[2]EVALUACIÓN PRIVADA'!#REF!</definedName>
    <definedName name="________UES96">#REF!</definedName>
    <definedName name="_______abs1">#REF!</definedName>
    <definedName name="_______abs2">#REF!</definedName>
    <definedName name="_______abs3">#REF!</definedName>
    <definedName name="_______aen1">#REF!</definedName>
    <definedName name="_______aen2">#REF!</definedName>
    <definedName name="_______bem98">[5]Programa!#REF!</definedName>
    <definedName name="_______BOP1">#REF!</definedName>
    <definedName name="_______BOP2">#REF!</definedName>
    <definedName name="_______cap2">'[2]EVALUACIÓN PRIVADA'!#REF!</definedName>
    <definedName name="_______cap3">'[2]EVALUACIÓN PRIVADA'!#REF!</definedName>
    <definedName name="_______cas2">'[2]EVALUACIÓN SOCIOECONÓMICA'!#REF!</definedName>
    <definedName name="_______cas3">'[2]EVALUACIÓN SOCIOECONÓMICA'!#REF!</definedName>
    <definedName name="_______CEL96">#REF!</definedName>
    <definedName name="_______cud21">#REF!</definedName>
    <definedName name="_______dcc2000">#REF!</definedName>
    <definedName name="_______dcc2001">#REF!</definedName>
    <definedName name="_______dcc2002">#REF!</definedName>
    <definedName name="_______dcc2003">#REF!</definedName>
    <definedName name="_______dcc98">[5]Programa!#REF!</definedName>
    <definedName name="_______dcc99">#REF!</definedName>
    <definedName name="_______DES2">'[2]EVALUACIÓN PRIVADA'!#REF!</definedName>
    <definedName name="_______DES3">'[2]EVALUACIÓN PRIVADA'!#REF!</definedName>
    <definedName name="_______dic96">#REF!</definedName>
    <definedName name="_______emi2000">#REF!</definedName>
    <definedName name="_______emi2001">#REF!</definedName>
    <definedName name="_______emi2002">#REF!</definedName>
    <definedName name="_______emi2003">#REF!</definedName>
    <definedName name="_______emi98">#REF!</definedName>
    <definedName name="_______emi99">#REF!</definedName>
    <definedName name="_______FIS96">#REF!</definedName>
    <definedName name="_______Ind12">'[2]ANÁLISIS DE SENSIBILIDAD'!#REF!</definedName>
    <definedName name="_______Ind17">'[2]ANÁLISIS DE SENSIBILIDAD'!#REF!</definedName>
    <definedName name="_______Ind18">'[2]ANÁLISIS DE SENSIBILIDAD'!#REF!</definedName>
    <definedName name="_______Ind22">'[2]ANÁLISIS DE SENSIBILIDAD'!#REF!</definedName>
    <definedName name="_______Ind27">'[2]ANÁLISIS DE SENSIBILIDAD'!#REF!</definedName>
    <definedName name="_______Ind28">'[2]ANÁLISIS DE SENSIBILIDAD'!#REF!</definedName>
    <definedName name="_______Ind32">'[2]ANÁLISIS DE SENSIBILIDAD'!#REF!</definedName>
    <definedName name="_______Ind41">[2]INDICADORES!#REF!</definedName>
    <definedName name="_______Ind42">[2]INDICADORES!#REF!</definedName>
    <definedName name="_______Ind43">[2]INDICADORES!#REF!</definedName>
    <definedName name="_______INE1">#REF!</definedName>
    <definedName name="_______ipc2000">#REF!</definedName>
    <definedName name="_______ipc2001">#REF!</definedName>
    <definedName name="_______ipc2002">#REF!</definedName>
    <definedName name="_______ipc2003">#REF!</definedName>
    <definedName name="_______ipc98">#REF!</definedName>
    <definedName name="_______ipc99">#REF!</definedName>
    <definedName name="_______me98">[5]Programa!#REF!</definedName>
    <definedName name="_______mk14">[6]NFPEntps!#REF!</definedName>
    <definedName name="_______npp2000">#REF!</definedName>
    <definedName name="_______npp2001">#REF!</definedName>
    <definedName name="_______npp2002">#REF!</definedName>
    <definedName name="_______npp2003">#REF!</definedName>
    <definedName name="_______npp98">#REF!</definedName>
    <definedName name="_______npp99">#REF!</definedName>
    <definedName name="_______OUT1">#REF!</definedName>
    <definedName name="_______OUT2">'[4]Serv&amp;Trans'!#REF!</definedName>
    <definedName name="_______OUT3">#REF!</definedName>
    <definedName name="_______OUT4">#REF!</definedName>
    <definedName name="_______OUT5">#REF!</definedName>
    <definedName name="_______OUT6">#REF!</definedName>
    <definedName name="_______OUT7">#REF!</definedName>
    <definedName name="_______pib2000">#REF!</definedName>
    <definedName name="_______pib2001">#REF!</definedName>
    <definedName name="_______pib2002">#REF!</definedName>
    <definedName name="_______pib2003">#REF!</definedName>
    <definedName name="_______pib98">[5]Programa!#REF!</definedName>
    <definedName name="_______pib99">#REF!</definedName>
    <definedName name="_______POR96">#REF!</definedName>
    <definedName name="_______PRN96">#REF!</definedName>
    <definedName name="_______sel10">'[2]EVALUACIÓN SOCIOECONÓMICA'!#REF!</definedName>
    <definedName name="_______sel11">'[2]EVALUACIÓN SOCIOECONÓMICA'!#REF!</definedName>
    <definedName name="_______sel12">'[2]EVALUACIÓN PRIVADA'!#REF!</definedName>
    <definedName name="_______sel13">'[2]EVALUACIÓN PRIVADA'!#REF!</definedName>
    <definedName name="_______sel14">'[2]EVALUACIÓN PRIVADA'!#REF!</definedName>
    <definedName name="_______sel16">'[2]EVALUACIÓN PRIVADA'!#REF!</definedName>
    <definedName name="_______sel18">[2]FINANCIACIÓN!#REF!</definedName>
    <definedName name="_______sel22">'[2]EVALUACIÓN PRIVADA'!#REF!</definedName>
    <definedName name="_______sel23">'[2]EVALUACIÓN SOCIOECONÓMICA'!#REF!</definedName>
    <definedName name="_______sel24">'[2]EVALUACIÓN SOCIOECONÓMICA'!#REF!</definedName>
    <definedName name="_______sel31">'[2]EVALUACIÓN PRIVADA'!#REF!</definedName>
    <definedName name="_______sel32">'[2]EVALUACIÓN PRIVADA'!#REF!</definedName>
    <definedName name="_______sel33">'[2]EVALUACIÓN SOCIOECONÓMICA'!#REF!</definedName>
    <definedName name="_______sel34">'[2]EVALUACIÓN SOCIOECONÓMICA'!#REF!</definedName>
    <definedName name="_______sel5">[2]ALTERNATIVAS!#REF!</definedName>
    <definedName name="_______sel6">'[2]EVALUACIÓN SOCIOECONÓMICA'!#REF!</definedName>
    <definedName name="_______sel7">'[2]EVALUACIÓN SOCIOECONÓMICA'!#REF!</definedName>
    <definedName name="_______sel8">'[2]EVALUACIÓN SOCIOECONÓMICA'!#REF!</definedName>
    <definedName name="_______sel9">'[2]EVALUACIÓN SOCIOECONÓMICA'!#REF!</definedName>
    <definedName name="_______SRN96">#REF!</definedName>
    <definedName name="_______SRT11" localSheetId="0" hidden="1">{"Minpmon",#N/A,FALSE,"Monthinput"}</definedName>
    <definedName name="_______SRT11" hidden="1">{"Minpmon",#N/A,FALSE,"Monthinput"}</definedName>
    <definedName name="_______tAB4">#REF!</definedName>
    <definedName name="_______tot2">'[2]EVALUACIÓN PRIVADA'!#REF!</definedName>
    <definedName name="_______tot3">'[2]EVALUACIÓN PRIVADA'!#REF!</definedName>
    <definedName name="_______UES96">#REF!</definedName>
    <definedName name="______abs1">#REF!</definedName>
    <definedName name="______abs2">#REF!</definedName>
    <definedName name="______abs3">#REF!</definedName>
    <definedName name="______aen1">#REF!</definedName>
    <definedName name="______aen2">#REF!</definedName>
    <definedName name="______bem98">[5]Programa!#REF!</definedName>
    <definedName name="______BOP1">#REF!</definedName>
    <definedName name="______BOP2">#REF!</definedName>
    <definedName name="______cap2">'[2]EVALUACIÓN PRIVADA'!#REF!</definedName>
    <definedName name="______cap3">'[2]EVALUACIÓN PRIVADA'!#REF!</definedName>
    <definedName name="______cas2">'[2]EVALUACIÓN SOCIOECONÓMICA'!#REF!</definedName>
    <definedName name="______cas3">'[2]EVALUACIÓN SOCIOECONÓMICA'!#REF!</definedName>
    <definedName name="______CEL96">#REF!</definedName>
    <definedName name="______cud21">#REF!</definedName>
    <definedName name="______dcc2000">#REF!</definedName>
    <definedName name="______dcc2001">#REF!</definedName>
    <definedName name="______dcc2002">#REF!</definedName>
    <definedName name="______dcc2003">#REF!</definedName>
    <definedName name="______dcc98">[5]Programa!#REF!</definedName>
    <definedName name="______dcc99">#REF!</definedName>
    <definedName name="______DES2">'[2]EVALUACIÓN PRIVADA'!#REF!</definedName>
    <definedName name="______DES3">'[2]EVALUACIÓN PRIVADA'!#REF!</definedName>
    <definedName name="______dic96">#REF!</definedName>
    <definedName name="______emi2000">#REF!</definedName>
    <definedName name="______emi2001">#REF!</definedName>
    <definedName name="______emi2002">#REF!</definedName>
    <definedName name="______emi2003">#REF!</definedName>
    <definedName name="______emi98">#REF!</definedName>
    <definedName name="______emi99">#REF!</definedName>
    <definedName name="______FIS96">#REF!</definedName>
    <definedName name="______Ind12">'[2]ANÁLISIS DE SENSIBILIDAD'!#REF!</definedName>
    <definedName name="______Ind17">'[2]ANÁLISIS DE SENSIBILIDAD'!#REF!</definedName>
    <definedName name="______Ind18">'[2]ANÁLISIS DE SENSIBILIDAD'!#REF!</definedName>
    <definedName name="______Ind22">'[2]ANÁLISIS DE SENSIBILIDAD'!#REF!</definedName>
    <definedName name="______Ind27">'[2]ANÁLISIS DE SENSIBILIDAD'!#REF!</definedName>
    <definedName name="______Ind28">'[2]ANÁLISIS DE SENSIBILIDAD'!#REF!</definedName>
    <definedName name="______Ind32">'[2]ANÁLISIS DE SENSIBILIDAD'!#REF!</definedName>
    <definedName name="______Ind41">[2]INDICADORES!#REF!</definedName>
    <definedName name="______Ind42">[2]INDICADORES!#REF!</definedName>
    <definedName name="______Ind43">[2]INDICADORES!#REF!</definedName>
    <definedName name="______INE1">#REF!</definedName>
    <definedName name="______ipc2000">#REF!</definedName>
    <definedName name="______ipc2001">#REF!</definedName>
    <definedName name="______ipc2002">#REF!</definedName>
    <definedName name="______ipc2003">#REF!</definedName>
    <definedName name="______ipc98">#REF!</definedName>
    <definedName name="______ipc99">#REF!</definedName>
    <definedName name="______me98">[5]Programa!#REF!</definedName>
    <definedName name="______mk14">[6]NFPEntps!#REF!</definedName>
    <definedName name="______npp2000">#REF!</definedName>
    <definedName name="______npp2001">#REF!</definedName>
    <definedName name="______npp2002">#REF!</definedName>
    <definedName name="______npp2003">#REF!</definedName>
    <definedName name="______npp98">#REF!</definedName>
    <definedName name="______npp99">#REF!</definedName>
    <definedName name="______OUT1">#REF!</definedName>
    <definedName name="______OUT2">'[4]Serv&amp;Trans'!#REF!</definedName>
    <definedName name="______OUT3">#REF!</definedName>
    <definedName name="______OUT4">#REF!</definedName>
    <definedName name="______OUT5">#REF!</definedName>
    <definedName name="______OUT6">#REF!</definedName>
    <definedName name="______OUT7">#REF!</definedName>
    <definedName name="______pib2000">#REF!</definedName>
    <definedName name="______pib2001">#REF!</definedName>
    <definedName name="______pib2002">#REF!</definedName>
    <definedName name="______pib2003">#REF!</definedName>
    <definedName name="______pib98">[5]Programa!#REF!</definedName>
    <definedName name="______pib99">#REF!</definedName>
    <definedName name="______POR96">#REF!</definedName>
    <definedName name="______PRN96">#REF!</definedName>
    <definedName name="______sel10">'[2]EVALUACIÓN SOCIOECONÓMICA'!#REF!</definedName>
    <definedName name="______sel11">'[2]EVALUACIÓN SOCIOECONÓMICA'!#REF!</definedName>
    <definedName name="______sel12">'[2]EVALUACIÓN PRIVADA'!#REF!</definedName>
    <definedName name="______sel13">'[2]EVALUACIÓN PRIVADA'!#REF!</definedName>
    <definedName name="______sel14">'[2]EVALUACIÓN PRIVADA'!#REF!</definedName>
    <definedName name="______sel16">'[2]EVALUACIÓN PRIVADA'!#REF!</definedName>
    <definedName name="______sel18">[2]FINANCIACIÓN!#REF!</definedName>
    <definedName name="______sel22">'[2]EVALUACIÓN PRIVADA'!#REF!</definedName>
    <definedName name="______sel23">'[2]EVALUACIÓN SOCIOECONÓMICA'!#REF!</definedName>
    <definedName name="______sel24">'[2]EVALUACIÓN SOCIOECONÓMICA'!#REF!</definedName>
    <definedName name="______sel31">'[2]EVALUACIÓN PRIVADA'!#REF!</definedName>
    <definedName name="______sel32">'[2]EVALUACIÓN PRIVADA'!#REF!</definedName>
    <definedName name="______sel33">'[2]EVALUACIÓN SOCIOECONÓMICA'!#REF!</definedName>
    <definedName name="______sel34">'[2]EVALUACIÓN SOCIOECONÓMICA'!#REF!</definedName>
    <definedName name="______sel5">[2]ALTERNATIVAS!#REF!</definedName>
    <definedName name="______sel6">'[2]EVALUACIÓN SOCIOECONÓMICA'!#REF!</definedName>
    <definedName name="______sel7">'[2]EVALUACIÓN SOCIOECONÓMICA'!#REF!</definedName>
    <definedName name="______sel8">'[2]EVALUACIÓN SOCIOECONÓMICA'!#REF!</definedName>
    <definedName name="______sel9">'[2]EVALUACIÓN SOCIOECONÓMICA'!#REF!</definedName>
    <definedName name="______SRN96">#REF!</definedName>
    <definedName name="______SRT11" localSheetId="0" hidden="1">{"Minpmon",#N/A,FALSE,"Monthinput"}</definedName>
    <definedName name="______SRT11" hidden="1">{"Minpmon",#N/A,FALSE,"Monthinput"}</definedName>
    <definedName name="______tAB4">#REF!</definedName>
    <definedName name="______tot2">'[2]EVALUACIÓN PRIVADA'!#REF!</definedName>
    <definedName name="______tot3">'[2]EVALUACIÓN PRIVADA'!#REF!</definedName>
    <definedName name="______UES96">#REF!</definedName>
    <definedName name="_____abs1">#REF!</definedName>
    <definedName name="_____abs2">#REF!</definedName>
    <definedName name="_____abs3">#REF!</definedName>
    <definedName name="_____aen1">#REF!</definedName>
    <definedName name="_____aen2">#REF!</definedName>
    <definedName name="_____bem98">[5]Programa!#REF!</definedName>
    <definedName name="_____BOP1">#REF!</definedName>
    <definedName name="_____BOP2">#REF!</definedName>
    <definedName name="_____cap2">'[2]EVALUACIÓN PRIVADA'!#REF!</definedName>
    <definedName name="_____cap3">'[2]EVALUACIÓN PRIVADA'!#REF!</definedName>
    <definedName name="_____cas2">'[2]EVALUACIÓN SOCIOECONÓMICA'!#REF!</definedName>
    <definedName name="_____cas3">'[2]EVALUACIÓN SOCIOECONÓMICA'!#REF!</definedName>
    <definedName name="_____CEL96">#REF!</definedName>
    <definedName name="_____cud21">#REF!</definedName>
    <definedName name="_____dcc2000">#REF!</definedName>
    <definedName name="_____dcc2001">#REF!</definedName>
    <definedName name="_____dcc2002">#REF!</definedName>
    <definedName name="_____dcc2003">#REF!</definedName>
    <definedName name="_____dcc98">[5]Programa!#REF!</definedName>
    <definedName name="_____dcc99">#REF!</definedName>
    <definedName name="_____DES2">'[2]EVALUACIÓN PRIVADA'!#REF!</definedName>
    <definedName name="_____DES3">'[2]EVALUACIÓN PRIVADA'!#REF!</definedName>
    <definedName name="_____dic96">#REF!</definedName>
    <definedName name="_____emi2000">#REF!</definedName>
    <definedName name="_____emi2001">#REF!</definedName>
    <definedName name="_____emi2002">#REF!</definedName>
    <definedName name="_____emi2003">#REF!</definedName>
    <definedName name="_____emi98">#REF!</definedName>
    <definedName name="_____emi99">#REF!</definedName>
    <definedName name="_____FIS96">#REF!</definedName>
    <definedName name="_____Ind12">'[2]ANÁLISIS DE SENSIBILIDAD'!#REF!</definedName>
    <definedName name="_____Ind17">'[2]ANÁLISIS DE SENSIBILIDAD'!#REF!</definedName>
    <definedName name="_____Ind18">'[2]ANÁLISIS DE SENSIBILIDAD'!#REF!</definedName>
    <definedName name="_____Ind22">'[2]ANÁLISIS DE SENSIBILIDAD'!#REF!</definedName>
    <definedName name="_____Ind27">'[2]ANÁLISIS DE SENSIBILIDAD'!#REF!</definedName>
    <definedName name="_____Ind28">'[2]ANÁLISIS DE SENSIBILIDAD'!#REF!</definedName>
    <definedName name="_____Ind32">'[2]ANÁLISIS DE SENSIBILIDAD'!#REF!</definedName>
    <definedName name="_____Ind41">[2]INDICADORES!#REF!</definedName>
    <definedName name="_____Ind42">[2]INDICADORES!#REF!</definedName>
    <definedName name="_____Ind43">[2]INDICADORES!#REF!</definedName>
    <definedName name="_____INE1">#REF!</definedName>
    <definedName name="_____ipc2000">#REF!</definedName>
    <definedName name="_____ipc2001">#REF!</definedName>
    <definedName name="_____ipc2002">#REF!</definedName>
    <definedName name="_____ipc2003">#REF!</definedName>
    <definedName name="_____ipc98">#REF!</definedName>
    <definedName name="_____ipc99">#REF!</definedName>
    <definedName name="_____me98">[5]Programa!#REF!</definedName>
    <definedName name="_____mk14">[6]NFPEntps!#REF!</definedName>
    <definedName name="_____npp2000">#REF!</definedName>
    <definedName name="_____npp2001">#REF!</definedName>
    <definedName name="_____npp2002">#REF!</definedName>
    <definedName name="_____npp2003">#REF!</definedName>
    <definedName name="_____npp98">#REF!</definedName>
    <definedName name="_____npp99">#REF!</definedName>
    <definedName name="_____OUT1">#REF!</definedName>
    <definedName name="_____OUT2">'[4]Serv&amp;Trans'!#REF!</definedName>
    <definedName name="_____OUT3">#REF!</definedName>
    <definedName name="_____OUT4">#REF!</definedName>
    <definedName name="_____OUT5">#REF!</definedName>
    <definedName name="_____OUT6">#REF!</definedName>
    <definedName name="_____OUT7">#REF!</definedName>
    <definedName name="_____pib2000">#REF!</definedName>
    <definedName name="_____pib2001">#REF!</definedName>
    <definedName name="_____pib2002">#REF!</definedName>
    <definedName name="_____pib2003">#REF!</definedName>
    <definedName name="_____pib98">[5]Programa!#REF!</definedName>
    <definedName name="_____pib99">#REF!</definedName>
    <definedName name="_____POR96">#REF!</definedName>
    <definedName name="_____PRN96">#REF!</definedName>
    <definedName name="_____sel10">'[2]EVALUACIÓN SOCIOECONÓMICA'!#REF!</definedName>
    <definedName name="_____sel11">'[2]EVALUACIÓN SOCIOECONÓMICA'!#REF!</definedName>
    <definedName name="_____sel12">'[2]EVALUACIÓN PRIVADA'!#REF!</definedName>
    <definedName name="_____sel13">'[2]EVALUACIÓN PRIVADA'!#REF!</definedName>
    <definedName name="_____sel14">'[2]EVALUACIÓN PRIVADA'!#REF!</definedName>
    <definedName name="_____sel16">'[2]EVALUACIÓN PRIVADA'!#REF!</definedName>
    <definedName name="_____sel18">[2]FINANCIACIÓN!#REF!</definedName>
    <definedName name="_____sel22">'[2]EVALUACIÓN PRIVADA'!#REF!</definedName>
    <definedName name="_____sel23">'[2]EVALUACIÓN SOCIOECONÓMICA'!#REF!</definedName>
    <definedName name="_____sel24">'[2]EVALUACIÓN SOCIOECONÓMICA'!#REF!</definedName>
    <definedName name="_____sel31">'[2]EVALUACIÓN PRIVADA'!#REF!</definedName>
    <definedName name="_____sel32">'[2]EVALUACIÓN PRIVADA'!#REF!</definedName>
    <definedName name="_____sel33">'[2]EVALUACIÓN SOCIOECONÓMICA'!#REF!</definedName>
    <definedName name="_____sel34">'[2]EVALUACIÓN SOCIOECONÓMICA'!#REF!</definedName>
    <definedName name="_____sel5">[2]ALTERNATIVAS!#REF!</definedName>
    <definedName name="_____sel6">'[2]EVALUACIÓN SOCIOECONÓMICA'!#REF!</definedName>
    <definedName name="_____sel7">'[2]EVALUACIÓN SOCIOECONÓMICA'!#REF!</definedName>
    <definedName name="_____sel8">'[2]EVALUACIÓN SOCIOECONÓMICA'!#REF!</definedName>
    <definedName name="_____sel9">'[2]EVALUACIÓN SOCIOECONÓMICA'!#REF!</definedName>
    <definedName name="_____SRN96">#REF!</definedName>
    <definedName name="_____SRT11" localSheetId="0" hidden="1">{"Minpmon",#N/A,FALSE,"Monthinput"}</definedName>
    <definedName name="_____SRT11" hidden="1">{"Minpmon",#N/A,FALSE,"Monthinput"}</definedName>
    <definedName name="_____tAB4">#REF!</definedName>
    <definedName name="_____tot2">'[2]EVALUACIÓN PRIVADA'!#REF!</definedName>
    <definedName name="_____tot3">'[2]EVALUACIÓN PRIVADA'!#REF!</definedName>
    <definedName name="_____UES96">#REF!</definedName>
    <definedName name="____abs1">#REF!</definedName>
    <definedName name="____abs2">#REF!</definedName>
    <definedName name="____abs3">#REF!</definedName>
    <definedName name="____aen1">#REF!</definedName>
    <definedName name="____aen2">#REF!</definedName>
    <definedName name="____bem98">[5]Programa!#REF!</definedName>
    <definedName name="____BOP1">#REF!</definedName>
    <definedName name="____BOP2">#REF!</definedName>
    <definedName name="____cap2">'[2]EVALUACIÓN PRIVADA'!#REF!</definedName>
    <definedName name="____cap3">'[2]EVALUACIÓN PRIVADA'!#REF!</definedName>
    <definedName name="____cas2">'[2]EVALUACIÓN SOCIOECONÓMICA'!#REF!</definedName>
    <definedName name="____cas3">'[2]EVALUACIÓN SOCIOECONÓMICA'!#REF!</definedName>
    <definedName name="____CEL96">#REF!</definedName>
    <definedName name="____cud21">#REF!</definedName>
    <definedName name="____dcc2000">#REF!</definedName>
    <definedName name="____dcc2001">#REF!</definedName>
    <definedName name="____dcc2002">#REF!</definedName>
    <definedName name="____dcc2003">#REF!</definedName>
    <definedName name="____dcc98">[5]Programa!#REF!</definedName>
    <definedName name="____dcc99">#REF!</definedName>
    <definedName name="____DES2">'[2]EVALUACIÓN PRIVADA'!#REF!</definedName>
    <definedName name="____DES3">'[2]EVALUACIÓN PRIVADA'!#REF!</definedName>
    <definedName name="____dic96">#REF!</definedName>
    <definedName name="____emi2000">#REF!</definedName>
    <definedName name="____emi2001">#REF!</definedName>
    <definedName name="____emi2002">#REF!</definedName>
    <definedName name="____emi2003">#REF!</definedName>
    <definedName name="____emi98">#REF!</definedName>
    <definedName name="____emi99">#REF!</definedName>
    <definedName name="____FIS96">#REF!</definedName>
    <definedName name="____Ind12">'[2]ANÁLISIS DE SENSIBILIDAD'!#REF!</definedName>
    <definedName name="____Ind17">'[2]ANÁLISIS DE SENSIBILIDAD'!#REF!</definedName>
    <definedName name="____Ind18">'[2]ANÁLISIS DE SENSIBILIDAD'!#REF!</definedName>
    <definedName name="____Ind22">'[2]ANÁLISIS DE SENSIBILIDAD'!#REF!</definedName>
    <definedName name="____Ind27">'[2]ANÁLISIS DE SENSIBILIDAD'!#REF!</definedName>
    <definedName name="____Ind28">'[2]ANÁLISIS DE SENSIBILIDAD'!#REF!</definedName>
    <definedName name="____Ind32">'[2]ANÁLISIS DE SENSIBILIDAD'!#REF!</definedName>
    <definedName name="____Ind41">[2]INDICADORES!#REF!</definedName>
    <definedName name="____Ind42">[2]INDICADORES!#REF!</definedName>
    <definedName name="____Ind43">[2]INDICADORES!#REF!</definedName>
    <definedName name="____INE1">#REF!</definedName>
    <definedName name="____ipc2000">#REF!</definedName>
    <definedName name="____ipc2001">#REF!</definedName>
    <definedName name="____ipc2002">#REF!</definedName>
    <definedName name="____ipc2003">#REF!</definedName>
    <definedName name="____ipc98">#REF!</definedName>
    <definedName name="____ipc99">#REF!</definedName>
    <definedName name="____me98">[5]Programa!#REF!</definedName>
    <definedName name="____mk14">[6]NFPEntps!#REF!</definedName>
    <definedName name="____npp2000">#REF!</definedName>
    <definedName name="____npp2001">#REF!</definedName>
    <definedName name="____npp2002">#REF!</definedName>
    <definedName name="____npp2003">#REF!</definedName>
    <definedName name="____npp98">#REF!</definedName>
    <definedName name="____npp99">#REF!</definedName>
    <definedName name="____OUT1">#REF!</definedName>
    <definedName name="____OUT2">'[4]Serv&amp;Trans'!#REF!</definedName>
    <definedName name="____OUT3">#REF!</definedName>
    <definedName name="____OUT4">#REF!</definedName>
    <definedName name="____OUT5">#REF!</definedName>
    <definedName name="____OUT6">#REF!</definedName>
    <definedName name="____OUT7">#REF!</definedName>
    <definedName name="____pib2000">#REF!</definedName>
    <definedName name="____pib2001">#REF!</definedName>
    <definedName name="____pib2002">#REF!</definedName>
    <definedName name="____pib2003">#REF!</definedName>
    <definedName name="____pib98">[5]Programa!#REF!</definedName>
    <definedName name="____pib99">#REF!</definedName>
    <definedName name="____POR96">#REF!</definedName>
    <definedName name="____PRN96">#REF!</definedName>
    <definedName name="____sel10">'[2]EVALUACIÓN SOCIOECONÓMICA'!#REF!</definedName>
    <definedName name="____sel11">'[2]EVALUACIÓN SOCIOECONÓMICA'!#REF!</definedName>
    <definedName name="____sel12">'[2]EVALUACIÓN PRIVADA'!#REF!</definedName>
    <definedName name="____sel13">'[2]EVALUACIÓN PRIVADA'!#REF!</definedName>
    <definedName name="____sel14">'[2]EVALUACIÓN PRIVADA'!#REF!</definedName>
    <definedName name="____sel16">'[2]EVALUACIÓN PRIVADA'!#REF!</definedName>
    <definedName name="____sel18">[2]FINANCIACIÓN!#REF!</definedName>
    <definedName name="____sel22">'[2]EVALUACIÓN PRIVADA'!#REF!</definedName>
    <definedName name="____sel23">'[2]EVALUACIÓN SOCIOECONÓMICA'!#REF!</definedName>
    <definedName name="____sel24">'[2]EVALUACIÓN SOCIOECONÓMICA'!#REF!</definedName>
    <definedName name="____sel31">'[2]EVALUACIÓN PRIVADA'!#REF!</definedName>
    <definedName name="____sel32">'[2]EVALUACIÓN PRIVADA'!#REF!</definedName>
    <definedName name="____sel33">'[2]EVALUACIÓN SOCIOECONÓMICA'!#REF!</definedName>
    <definedName name="____sel34">'[2]EVALUACIÓN SOCIOECONÓMICA'!#REF!</definedName>
    <definedName name="____sel5">[2]ALTERNATIVAS!#REF!</definedName>
    <definedName name="____sel6">'[2]EVALUACIÓN SOCIOECONÓMICA'!#REF!</definedName>
    <definedName name="____sel7">'[2]EVALUACIÓN SOCIOECONÓMICA'!#REF!</definedName>
    <definedName name="____sel8">'[2]EVALUACIÓN SOCIOECONÓMICA'!#REF!</definedName>
    <definedName name="____sel9">'[2]EVALUACIÓN SOCIOECONÓMICA'!#REF!</definedName>
    <definedName name="____SRN96">#REF!</definedName>
    <definedName name="____SRT11" localSheetId="0" hidden="1">{"Minpmon",#N/A,FALSE,"Monthinput"}</definedName>
    <definedName name="____SRT11" hidden="1">{"Minpmon",#N/A,FALSE,"Monthinput"}</definedName>
    <definedName name="____tAB4">#REF!</definedName>
    <definedName name="____tot2">'[2]EVALUACIÓN PRIVADA'!#REF!</definedName>
    <definedName name="____tot3">'[2]EVALUACIÓN PRIVADA'!#REF!</definedName>
    <definedName name="____UES96">#REF!</definedName>
    <definedName name="___abs1">#REF!</definedName>
    <definedName name="___abs2">#REF!</definedName>
    <definedName name="___abs3">#REF!</definedName>
    <definedName name="___aen1">#REF!</definedName>
    <definedName name="___aen2">#REF!</definedName>
    <definedName name="___bem98">[5]Programa!#REF!</definedName>
    <definedName name="___BOP1">#REF!</definedName>
    <definedName name="___BOP2">#REF!</definedName>
    <definedName name="___cap2">'[2]EVALUACIÓN PRIVADA'!#REF!</definedName>
    <definedName name="___cap3">'[2]EVALUACIÓN PRIVADA'!#REF!</definedName>
    <definedName name="___cas2">'[2]EVALUACIÓN SOCIOECONÓMICA'!#REF!</definedName>
    <definedName name="___cas3">'[2]EVALUACIÓN SOCIOECONÓMICA'!#REF!</definedName>
    <definedName name="___CEL96">#REF!</definedName>
    <definedName name="___cud21">#REF!</definedName>
    <definedName name="___dcc2000">#REF!</definedName>
    <definedName name="___dcc2001">#REF!</definedName>
    <definedName name="___dcc2002">#REF!</definedName>
    <definedName name="___dcc2003">#REF!</definedName>
    <definedName name="___dcc98">[5]Programa!#REF!</definedName>
    <definedName name="___dcc99">#REF!</definedName>
    <definedName name="___DES2">'[2]EVALUACIÓN PRIVADA'!#REF!</definedName>
    <definedName name="___DES3">'[2]EVALUACIÓN PRIVADA'!#REF!</definedName>
    <definedName name="___dic96">#REF!</definedName>
    <definedName name="___emi2000">#REF!</definedName>
    <definedName name="___emi2001">#REF!</definedName>
    <definedName name="___emi2002">#REF!</definedName>
    <definedName name="___emi2003">#REF!</definedName>
    <definedName name="___emi98">#REF!</definedName>
    <definedName name="___emi99">#REF!</definedName>
    <definedName name="___FIS96">#REF!</definedName>
    <definedName name="___Ind12">'[2]ANÁLISIS DE SENSIBILIDAD'!#REF!</definedName>
    <definedName name="___Ind17">'[2]ANÁLISIS DE SENSIBILIDAD'!#REF!</definedName>
    <definedName name="___Ind18">'[2]ANÁLISIS DE SENSIBILIDAD'!#REF!</definedName>
    <definedName name="___Ind22">'[2]ANÁLISIS DE SENSIBILIDAD'!#REF!</definedName>
    <definedName name="___Ind27">'[2]ANÁLISIS DE SENSIBILIDAD'!#REF!</definedName>
    <definedName name="___Ind28">'[2]ANÁLISIS DE SENSIBILIDAD'!#REF!</definedName>
    <definedName name="___Ind32">'[2]ANÁLISIS DE SENSIBILIDAD'!#REF!</definedName>
    <definedName name="___Ind41">[2]INDICADORES!#REF!</definedName>
    <definedName name="___Ind42">[2]INDICADORES!#REF!</definedName>
    <definedName name="___Ind43">[2]INDICADORES!#REF!</definedName>
    <definedName name="___INE1">#REF!</definedName>
    <definedName name="___ipc2000">#REF!</definedName>
    <definedName name="___ipc2001">#REF!</definedName>
    <definedName name="___ipc2002">#REF!</definedName>
    <definedName name="___ipc2003">#REF!</definedName>
    <definedName name="___ipc98">#REF!</definedName>
    <definedName name="___ipc99">#REF!</definedName>
    <definedName name="___me98">[5]Programa!#REF!</definedName>
    <definedName name="___mk14">[6]NFPEntps!#REF!</definedName>
    <definedName name="___npp2000">#REF!</definedName>
    <definedName name="___npp2001">#REF!</definedName>
    <definedName name="___npp2002">#REF!</definedName>
    <definedName name="___npp2003">#REF!</definedName>
    <definedName name="___npp98">#REF!</definedName>
    <definedName name="___npp99">#REF!</definedName>
    <definedName name="___OUT1">#REF!</definedName>
    <definedName name="___OUT2">'[4]Serv&amp;Trans'!#REF!</definedName>
    <definedName name="___OUT3">#REF!</definedName>
    <definedName name="___OUT4">#REF!</definedName>
    <definedName name="___OUT5">#REF!</definedName>
    <definedName name="___OUT6">#REF!</definedName>
    <definedName name="___OUT7">#REF!</definedName>
    <definedName name="___pib2000">#REF!</definedName>
    <definedName name="___pib2001">#REF!</definedName>
    <definedName name="___pib2002">#REF!</definedName>
    <definedName name="___pib2003">#REF!</definedName>
    <definedName name="___pib98">[5]Programa!#REF!</definedName>
    <definedName name="___pib99">#REF!</definedName>
    <definedName name="___POR96">#REF!</definedName>
    <definedName name="___PRN96">#REF!</definedName>
    <definedName name="___sel10">'[2]EVALUACIÓN SOCIOECONÓMICA'!#REF!</definedName>
    <definedName name="___sel11">'[2]EVALUACIÓN SOCIOECONÓMICA'!#REF!</definedName>
    <definedName name="___sel12">'[2]EVALUACIÓN PRIVADA'!#REF!</definedName>
    <definedName name="___sel13">'[2]EVALUACIÓN PRIVADA'!#REF!</definedName>
    <definedName name="___sel14">'[2]EVALUACIÓN PRIVADA'!#REF!</definedName>
    <definedName name="___sel16">'[2]EVALUACIÓN PRIVADA'!#REF!</definedName>
    <definedName name="___sel18">[2]FINANCIACIÓN!#REF!</definedName>
    <definedName name="___sel22">'[2]EVALUACIÓN PRIVADA'!#REF!</definedName>
    <definedName name="___sel23">'[2]EVALUACIÓN SOCIOECONÓMICA'!#REF!</definedName>
    <definedName name="___sel24">'[2]EVALUACIÓN SOCIOECONÓMICA'!#REF!</definedName>
    <definedName name="___sel31">'[2]EVALUACIÓN PRIVADA'!#REF!</definedName>
    <definedName name="___sel32">'[2]EVALUACIÓN PRIVADA'!#REF!</definedName>
    <definedName name="___sel33">'[2]EVALUACIÓN SOCIOECONÓMICA'!#REF!</definedName>
    <definedName name="___sel34">'[2]EVALUACIÓN SOCIOECONÓMICA'!#REF!</definedName>
    <definedName name="___sel5">[2]ALTERNATIVAS!#REF!</definedName>
    <definedName name="___sel6">'[2]EVALUACIÓN SOCIOECONÓMICA'!#REF!</definedName>
    <definedName name="___sel7">'[2]EVALUACIÓN SOCIOECONÓMICA'!#REF!</definedName>
    <definedName name="___sel8">'[2]EVALUACIÓN SOCIOECONÓMICA'!#REF!</definedName>
    <definedName name="___sel9">'[2]EVALUACIÓN SOCIOECONÓMICA'!#REF!</definedName>
    <definedName name="___SRN96">#REF!</definedName>
    <definedName name="___SRT11" localSheetId="0" hidden="1">{"Minpmon",#N/A,FALSE,"Monthinput"}</definedName>
    <definedName name="___SRT11" hidden="1">{"Minpmon",#N/A,FALSE,"Monthinput"}</definedName>
    <definedName name="___tAB4">#REF!</definedName>
    <definedName name="___tot2">'[2]EVALUACIÓN PRIVADA'!#REF!</definedName>
    <definedName name="___tot3">'[2]EVALUACIÓN PRIVADA'!#REF!</definedName>
    <definedName name="___UES96">#REF!</definedName>
    <definedName name="__1__123Graph_AFIG_D" hidden="1">#REF!</definedName>
    <definedName name="__123Graph_A" hidden="1">[7]SPNF!#REF!</definedName>
    <definedName name="__123Graph_B" hidden="1">'[8]Central Govt'!#REF!</definedName>
    <definedName name="__123Graph_C" hidden="1">[7]SPNF!#REF!</definedName>
    <definedName name="__123Graph_D" hidden="1">[9]FLUJO!$B$7937:$C$7937</definedName>
    <definedName name="__123Graph_E" hidden="1">[7]SPNF!#REF!</definedName>
    <definedName name="__123Graph_F" hidden="1">[7]SPNF!#REF!</definedName>
    <definedName name="__123Graph_X" hidden="1">[9]FLUJO!$B$7901:$C$7901</definedName>
    <definedName name="__2__123Graph_ATERMS_OF_TRADE" hidden="1">#REF!</definedName>
    <definedName name="__3__123Graph_BTERMS_OF_TRADE" hidden="1">#REF!</definedName>
    <definedName name="__4__123Graph_XFIG_D" hidden="1">#REF!</definedName>
    <definedName name="__5__123Graph_XTERMS_OF_TRADE" hidden="1">#REF!</definedName>
    <definedName name="__abs1">#REF!</definedName>
    <definedName name="__abs2" localSheetId="1">#REF!</definedName>
    <definedName name="__abs2">#REF!</definedName>
    <definedName name="__abs3" localSheetId="1">#REF!</definedName>
    <definedName name="__abs3">#REF!</definedName>
    <definedName name="__aen1" localSheetId="1">#REF!</definedName>
    <definedName name="__aen1">#REF!</definedName>
    <definedName name="__aen2" localSheetId="1">#REF!</definedName>
    <definedName name="__aen2">#REF!</definedName>
    <definedName name="__bem98" localSheetId="1">[5]Programa!#REF!</definedName>
    <definedName name="__bem98">[5]Programa!#REF!</definedName>
    <definedName name="__BOP1" localSheetId="1">#REF!</definedName>
    <definedName name="__BOP1">#REF!</definedName>
    <definedName name="__BOP2" localSheetId="1">#REF!</definedName>
    <definedName name="__BOP2">#REF!</definedName>
    <definedName name="__cap2" localSheetId="1">'[2]EVALUACIÓN PRIVADA'!#REF!</definedName>
    <definedName name="__cap2">'[2]EVALUACIÓN PRIVADA'!#REF!</definedName>
    <definedName name="__cap3" localSheetId="1">'[2]EVALUACIÓN PRIVADA'!#REF!</definedName>
    <definedName name="__cap3">'[2]EVALUACIÓN PRIVADA'!#REF!</definedName>
    <definedName name="__cas2" localSheetId="1">'[2]EVALUACIÓN SOCIOECONÓMICA'!#REF!</definedName>
    <definedName name="__cas2">'[2]EVALUACIÓN SOCIOECONÓMICA'!#REF!</definedName>
    <definedName name="__cas3" localSheetId="1">'[2]EVALUACIÓN SOCIOECONÓMICA'!#REF!</definedName>
    <definedName name="__cas3">'[2]EVALUACIÓN SOCIOECONÓMICA'!#REF!</definedName>
    <definedName name="__CEL96" localSheetId="1">#REF!</definedName>
    <definedName name="__CEL96">#REF!</definedName>
    <definedName name="__cud21" localSheetId="1">#REF!</definedName>
    <definedName name="__cud21">#REF!</definedName>
    <definedName name="__dcc2000" localSheetId="1">#REF!</definedName>
    <definedName name="__dcc2000">#REF!</definedName>
    <definedName name="__dcc2001" localSheetId="1">#REF!</definedName>
    <definedName name="__dcc2001">#REF!</definedName>
    <definedName name="__dcc2002" localSheetId="1">#REF!</definedName>
    <definedName name="__dcc2002">#REF!</definedName>
    <definedName name="__dcc2003" localSheetId="1">#REF!</definedName>
    <definedName name="__dcc2003">#REF!</definedName>
    <definedName name="__dcc98" localSheetId="1">[5]Programa!#REF!</definedName>
    <definedName name="__dcc98">[5]Programa!#REF!</definedName>
    <definedName name="__dcc99" localSheetId="1">#REF!</definedName>
    <definedName name="__dcc99">#REF!</definedName>
    <definedName name="__DES2" localSheetId="1">'[2]EVALUACIÓN PRIVADA'!#REF!</definedName>
    <definedName name="__DES2">'[2]EVALUACIÓN PRIVADA'!#REF!</definedName>
    <definedName name="__DES3" localSheetId="1">'[2]EVALUACIÓN PRIVADA'!#REF!</definedName>
    <definedName name="__DES3">'[2]EVALUACIÓN PRIVADA'!#REF!</definedName>
    <definedName name="__dic96" localSheetId="1">#REF!</definedName>
    <definedName name="__dic96">#REF!</definedName>
    <definedName name="__emi2000" localSheetId="1">#REF!</definedName>
    <definedName name="__emi2000">#REF!</definedName>
    <definedName name="__emi2001" localSheetId="1">#REF!</definedName>
    <definedName name="__emi2001">#REF!</definedName>
    <definedName name="__emi2002" localSheetId="1">#REF!</definedName>
    <definedName name="__emi2002">#REF!</definedName>
    <definedName name="__emi2003" localSheetId="1">#REF!</definedName>
    <definedName name="__emi2003">#REF!</definedName>
    <definedName name="__emi98" localSheetId="1">#REF!</definedName>
    <definedName name="__emi98">#REF!</definedName>
    <definedName name="__emi99" localSheetId="1">#REF!</definedName>
    <definedName name="__emi99">#REF!</definedName>
    <definedName name="__FIS96" localSheetId="1">#REF!</definedName>
    <definedName name="__FIS96">#REF!</definedName>
    <definedName name="__Ind12" localSheetId="1">'[2]ANÁLISIS DE SENSIBILIDAD'!#REF!</definedName>
    <definedName name="__Ind12">'[2]ANÁLISIS DE SENSIBILIDAD'!#REF!</definedName>
    <definedName name="__Ind17" localSheetId="1">'[2]ANÁLISIS DE SENSIBILIDAD'!#REF!</definedName>
    <definedName name="__Ind17">'[2]ANÁLISIS DE SENSIBILIDAD'!#REF!</definedName>
    <definedName name="__Ind18" localSheetId="1">'[2]ANÁLISIS DE SENSIBILIDAD'!#REF!</definedName>
    <definedName name="__Ind18">'[2]ANÁLISIS DE SENSIBILIDAD'!#REF!</definedName>
    <definedName name="__Ind22" localSheetId="1">'[2]ANÁLISIS DE SENSIBILIDAD'!#REF!</definedName>
    <definedName name="__Ind22">'[2]ANÁLISIS DE SENSIBILIDAD'!#REF!</definedName>
    <definedName name="__Ind27" localSheetId="1">'[2]ANÁLISIS DE SENSIBILIDAD'!#REF!</definedName>
    <definedName name="__Ind27">'[2]ANÁLISIS DE SENSIBILIDAD'!#REF!</definedName>
    <definedName name="__Ind28" localSheetId="1">'[2]ANÁLISIS DE SENSIBILIDAD'!#REF!</definedName>
    <definedName name="__Ind28">'[2]ANÁLISIS DE SENSIBILIDAD'!#REF!</definedName>
    <definedName name="__Ind32" localSheetId="1">'[2]ANÁLISIS DE SENSIBILIDAD'!#REF!</definedName>
    <definedName name="__Ind32">'[2]ANÁLISIS DE SENSIBILIDAD'!#REF!</definedName>
    <definedName name="__Ind41" localSheetId="1">[2]INDICADORES!#REF!</definedName>
    <definedName name="__Ind41">[2]INDICADORES!#REF!</definedName>
    <definedName name="__Ind42" localSheetId="1">[2]INDICADORES!#REF!</definedName>
    <definedName name="__Ind42">[2]INDICADORES!#REF!</definedName>
    <definedName name="__Ind43" localSheetId="1">[2]INDICADORES!#REF!</definedName>
    <definedName name="__Ind43">[2]INDICADORES!#REF!</definedName>
    <definedName name="__INE1" localSheetId="1">#REF!</definedName>
    <definedName name="__INE1">#REF!</definedName>
    <definedName name="__ipc2000" localSheetId="1">#REF!</definedName>
    <definedName name="__ipc2000">#REF!</definedName>
    <definedName name="__ipc2001" localSheetId="1">#REF!</definedName>
    <definedName name="__ipc2001">#REF!</definedName>
    <definedName name="__ipc2002" localSheetId="1">#REF!</definedName>
    <definedName name="__ipc2002">#REF!</definedName>
    <definedName name="__ipc2003" localSheetId="1">#REF!</definedName>
    <definedName name="__ipc2003">#REF!</definedName>
    <definedName name="__ipc98" localSheetId="1">#REF!</definedName>
    <definedName name="__ipc98">#REF!</definedName>
    <definedName name="__ipc99" localSheetId="1">#REF!</definedName>
    <definedName name="__ipc99">#REF!</definedName>
    <definedName name="__me98" localSheetId="1">[5]Programa!#REF!</definedName>
    <definedName name="__me98">[5]Programa!#REF!</definedName>
    <definedName name="__mk14" localSheetId="1">[6]NFPEntps!#REF!</definedName>
    <definedName name="__mk14">[6]NFPEntps!#REF!</definedName>
    <definedName name="__npp2000" localSheetId="1">#REF!</definedName>
    <definedName name="__npp2000">#REF!</definedName>
    <definedName name="__npp2001" localSheetId="1">#REF!</definedName>
    <definedName name="__npp2001">#REF!</definedName>
    <definedName name="__npp2002" localSheetId="1">#REF!</definedName>
    <definedName name="__npp2002">#REF!</definedName>
    <definedName name="__npp2003" localSheetId="1">#REF!</definedName>
    <definedName name="__npp2003">#REF!</definedName>
    <definedName name="__npp98" localSheetId="1">#REF!</definedName>
    <definedName name="__npp98">#REF!</definedName>
    <definedName name="__npp99" localSheetId="1">#REF!</definedName>
    <definedName name="__npp99">#REF!</definedName>
    <definedName name="__OUT1" localSheetId="1">#REF!</definedName>
    <definedName name="__OUT1">#REF!</definedName>
    <definedName name="__OUT2" localSheetId="1">'[4]Serv&amp;Trans'!#REF!</definedName>
    <definedName name="__OUT2">'[4]Serv&amp;Trans'!#REF!</definedName>
    <definedName name="__OUT3" localSheetId="1">#REF!</definedName>
    <definedName name="__OUT3">#REF!</definedName>
    <definedName name="__OUT4" localSheetId="1">#REF!</definedName>
    <definedName name="__OUT4">#REF!</definedName>
    <definedName name="__OUT5" localSheetId="1">#REF!</definedName>
    <definedName name="__OUT5">#REF!</definedName>
    <definedName name="__OUT6" localSheetId="1">#REF!</definedName>
    <definedName name="__OUT6">#REF!</definedName>
    <definedName name="__OUT7" localSheetId="1">#REF!</definedName>
    <definedName name="__OUT7">#REF!</definedName>
    <definedName name="__pib2000" localSheetId="1">#REF!</definedName>
    <definedName name="__pib2000">#REF!</definedName>
    <definedName name="__pib2001" localSheetId="1">#REF!</definedName>
    <definedName name="__pib2001">#REF!</definedName>
    <definedName name="__pib2002" localSheetId="1">#REF!</definedName>
    <definedName name="__pib2002">#REF!</definedName>
    <definedName name="__pib2003" localSheetId="1">#REF!</definedName>
    <definedName name="__pib2003">#REF!</definedName>
    <definedName name="__pib98" localSheetId="1">[5]Programa!#REF!</definedName>
    <definedName name="__pib98">[5]Programa!#REF!</definedName>
    <definedName name="__pib99" localSheetId="1">#REF!</definedName>
    <definedName name="__pib99">#REF!</definedName>
    <definedName name="__POR96" localSheetId="1">#REF!</definedName>
    <definedName name="__POR96">#REF!</definedName>
    <definedName name="__PRN96" localSheetId="1">#REF!</definedName>
    <definedName name="__PRN96">#REF!</definedName>
    <definedName name="__sel10" localSheetId="1">'[2]EVALUACIÓN SOCIOECONÓMICA'!#REF!</definedName>
    <definedName name="__sel10">'[2]EVALUACIÓN SOCIOECONÓMICA'!#REF!</definedName>
    <definedName name="__sel11" localSheetId="1">'[2]EVALUACIÓN SOCIOECONÓMICA'!#REF!</definedName>
    <definedName name="__sel11">'[2]EVALUACIÓN SOCIOECONÓMICA'!#REF!</definedName>
    <definedName name="__sel12" localSheetId="1">'[2]EVALUACIÓN PRIVADA'!#REF!</definedName>
    <definedName name="__sel12">'[2]EVALUACIÓN PRIVADA'!#REF!</definedName>
    <definedName name="__sel13" localSheetId="1">'[2]EVALUACIÓN PRIVADA'!#REF!</definedName>
    <definedName name="__sel13">'[2]EVALUACIÓN PRIVADA'!#REF!</definedName>
    <definedName name="__sel14" localSheetId="1">'[2]EVALUACIÓN PRIVADA'!#REF!</definedName>
    <definedName name="__sel14">'[2]EVALUACIÓN PRIVADA'!#REF!</definedName>
    <definedName name="__sel16" localSheetId="1">'[2]EVALUACIÓN PRIVADA'!#REF!</definedName>
    <definedName name="__sel16">'[2]EVALUACIÓN PRIVADA'!#REF!</definedName>
    <definedName name="__sel18" localSheetId="1">[2]FINANCIACIÓN!#REF!</definedName>
    <definedName name="__sel18">[2]FINANCIACIÓN!#REF!</definedName>
    <definedName name="__sel22" localSheetId="1">'[2]EVALUACIÓN PRIVADA'!#REF!</definedName>
    <definedName name="__sel22">'[2]EVALUACIÓN PRIVADA'!#REF!</definedName>
    <definedName name="__sel23" localSheetId="1">'[2]EVALUACIÓN SOCIOECONÓMICA'!#REF!</definedName>
    <definedName name="__sel23">'[2]EVALUACIÓN SOCIOECONÓMICA'!#REF!</definedName>
    <definedName name="__sel24" localSheetId="1">'[2]EVALUACIÓN SOCIOECONÓMICA'!#REF!</definedName>
    <definedName name="__sel24">'[2]EVALUACIÓN SOCIOECONÓMICA'!#REF!</definedName>
    <definedName name="__sel31" localSheetId="1">'[2]EVALUACIÓN PRIVADA'!#REF!</definedName>
    <definedName name="__sel31">'[2]EVALUACIÓN PRIVADA'!#REF!</definedName>
    <definedName name="__sel32" localSheetId="1">'[2]EVALUACIÓN PRIVADA'!#REF!</definedName>
    <definedName name="__sel32">'[2]EVALUACIÓN PRIVADA'!#REF!</definedName>
    <definedName name="__sel33" localSheetId="1">'[2]EVALUACIÓN SOCIOECONÓMICA'!#REF!</definedName>
    <definedName name="__sel33">'[2]EVALUACIÓN SOCIOECONÓMICA'!#REF!</definedName>
    <definedName name="__sel34" localSheetId="1">'[2]EVALUACIÓN SOCIOECONÓMICA'!#REF!</definedName>
    <definedName name="__sel34">'[2]EVALUACIÓN SOCIOECONÓMICA'!#REF!</definedName>
    <definedName name="__sel5" localSheetId="1">[2]ALTERNATIVAS!#REF!</definedName>
    <definedName name="__sel5">[2]ALTERNATIVAS!#REF!</definedName>
    <definedName name="__sel6" localSheetId="1">'[2]EVALUACIÓN SOCIOECONÓMICA'!#REF!</definedName>
    <definedName name="__sel6">'[2]EVALUACIÓN SOCIOECONÓMICA'!#REF!</definedName>
    <definedName name="__sel7" localSheetId="1">'[2]EVALUACIÓN SOCIOECONÓMICA'!#REF!</definedName>
    <definedName name="__sel7">'[2]EVALUACIÓN SOCIOECONÓMICA'!#REF!</definedName>
    <definedName name="__sel8" localSheetId="1">'[2]EVALUACIÓN SOCIOECONÓMICA'!#REF!</definedName>
    <definedName name="__sel8">'[2]EVALUACIÓN SOCIOECONÓMICA'!#REF!</definedName>
    <definedName name="__sel9" localSheetId="1">'[2]EVALUACIÓN SOCIOECONÓMICA'!#REF!</definedName>
    <definedName name="__sel9">'[2]EVALUACIÓN SOCIOECONÓMICA'!#REF!</definedName>
    <definedName name="__SRN96" localSheetId="1">#REF!</definedName>
    <definedName name="__SRN96">#REF!</definedName>
    <definedName name="__SRT11" localSheetId="0" hidden="1">{"Minpmon",#N/A,FALSE,"Monthinput"}</definedName>
    <definedName name="__SRT11" hidden="1">{"Minpmon",#N/A,FALSE,"Monthinput"}</definedName>
    <definedName name="__tAB4" localSheetId="1">#REF!</definedName>
    <definedName name="__tAB4">#REF!</definedName>
    <definedName name="__tot2" localSheetId="1">'[2]EVALUACIÓN PRIVADA'!#REF!</definedName>
    <definedName name="__tot2">'[2]EVALUACIÓN PRIVADA'!#REF!</definedName>
    <definedName name="__tot3" localSheetId="1">'[2]EVALUACIÓN PRIVADA'!#REF!</definedName>
    <definedName name="__tot3">'[2]EVALUACIÓN PRIVADA'!#REF!</definedName>
    <definedName name="__UES96" localSheetId="1">#REF!</definedName>
    <definedName name="__UES96">#REF!</definedName>
    <definedName name="_1___123Graph_AFIG_D" localSheetId="1" hidden="1">#REF!</definedName>
    <definedName name="_1___123Graph_AFIG_D" hidden="1">#REF!</definedName>
    <definedName name="_1__123Graph_AFIG_D" hidden="1">#REF!</definedName>
    <definedName name="_2__123Graph_ATERMS_OF_TRADE" hidden="1">#REF!</definedName>
    <definedName name="_3__123Graph_BTERMS_OF_TRADE" hidden="1">#REF!</definedName>
    <definedName name="_4__123Graph_XFIG_D" hidden="1">#REF!</definedName>
    <definedName name="_5__123Graph_XTERMS_OF_TRADE" hidden="1">#REF!</definedName>
    <definedName name="_abs1">#REF!</definedName>
    <definedName name="_abs2">#REF!</definedName>
    <definedName name="_abs3">#REF!</definedName>
    <definedName name="_aen1">#REF!</definedName>
    <definedName name="_aen2">#REF!</definedName>
    <definedName name="_ast2">'[2]EVALUACIÓN SOCIOECONÓMICA'!#REF!</definedName>
    <definedName name="_bem98">[10]Programa!#REF!</definedName>
    <definedName name="_BOP1">#REF!</definedName>
    <definedName name="_BOP2">#REF!</definedName>
    <definedName name="_cap2">'[2]EVALUACIÓN PRIVADA'!#REF!</definedName>
    <definedName name="_cap3">'[2]EVALUACIÓN PRIVADA'!#REF!</definedName>
    <definedName name="_cas2" localSheetId="1">'[2]EVALUACIÓN SOCIOECONÓMICA'!#REF!</definedName>
    <definedName name="_cas2">'[2]EVALUACIÓN SOCIOECONÓMICA'!#REF!</definedName>
    <definedName name="_cas3" localSheetId="1">'[2]EVALUACIÓN SOCIOECONÓMICA'!#REF!</definedName>
    <definedName name="_cas3">'[2]EVALUACIÓN SOCIOECONÓMICA'!#REF!</definedName>
    <definedName name="_CEL96">#REF!</definedName>
    <definedName name="_cud21">#REF!</definedName>
    <definedName name="_dcc2000">#REF!</definedName>
    <definedName name="_dcc2001">#REF!</definedName>
    <definedName name="_dcc2002">#REF!</definedName>
    <definedName name="_dcc2003">#REF!</definedName>
    <definedName name="_dcc98">[10]Programa!#REF!</definedName>
    <definedName name="_dcc99">#REF!</definedName>
    <definedName name="_DES2">'[2]EVALUACIÓN PRIVADA'!#REF!</definedName>
    <definedName name="_DES3">'[2]EVALUACIÓN PRIVADA'!#REF!</definedName>
    <definedName name="_dic96">#REF!</definedName>
    <definedName name="_emi2000">#REF!</definedName>
    <definedName name="_emi2001">#REF!</definedName>
    <definedName name="_emi2002">#REF!</definedName>
    <definedName name="_emi2003">#REF!</definedName>
    <definedName name="_emi98">#REF!</definedName>
    <definedName name="_emi99">#REF!</definedName>
    <definedName name="_emo2004">#REF!</definedName>
    <definedName name="_Fill" hidden="1">#REF!</definedName>
    <definedName name="_xlnm._FilterDatabase" localSheetId="1" hidden="1">'execution_au_30-09-19'!$A$2:$S$975</definedName>
    <definedName name="_xlnm._FilterDatabase" hidden="1">[11]C!$P$428:$T$428</definedName>
    <definedName name="_FIS96">#REF!</definedName>
    <definedName name="_Ind12">'[2]ANÁLISIS DE SENSIBILIDAD'!#REF!</definedName>
    <definedName name="_Ind17">'[2]ANÁLISIS DE SENSIBILIDAD'!#REF!</definedName>
    <definedName name="_Ind18" localSheetId="1">'[2]ANÁLISIS DE SENSIBILIDAD'!#REF!</definedName>
    <definedName name="_Ind18">'[2]ANÁLISIS DE SENSIBILIDAD'!#REF!</definedName>
    <definedName name="_Ind22" localSheetId="1">'[2]ANÁLISIS DE SENSIBILIDAD'!#REF!</definedName>
    <definedName name="_Ind22">'[2]ANÁLISIS DE SENSIBILIDAD'!#REF!</definedName>
    <definedName name="_Ind27" localSheetId="1">'[2]ANÁLISIS DE SENSIBILIDAD'!#REF!</definedName>
    <definedName name="_Ind27">'[2]ANÁLISIS DE SENSIBILIDAD'!#REF!</definedName>
    <definedName name="_Ind28" localSheetId="1">'[2]ANÁLISIS DE SENSIBILIDAD'!#REF!</definedName>
    <definedName name="_Ind28">'[2]ANÁLISIS DE SENSIBILIDAD'!#REF!</definedName>
    <definedName name="_Ind32" localSheetId="1">'[2]ANÁLISIS DE SENSIBILIDAD'!#REF!</definedName>
    <definedName name="_Ind32">'[2]ANÁLISIS DE SENSIBILIDAD'!#REF!</definedName>
    <definedName name="_Ind41" localSheetId="1">[2]INDICADORES!#REF!</definedName>
    <definedName name="_Ind41">[2]INDICADORES!#REF!</definedName>
    <definedName name="_Ind42" localSheetId="1">[2]INDICADORES!#REF!</definedName>
    <definedName name="_Ind42">[2]INDICADORES!#REF!</definedName>
    <definedName name="_Ind43" localSheetId="1">[2]INDICADORES!#REF!</definedName>
    <definedName name="_Ind43">[2]INDICADORES!#REF!</definedName>
    <definedName name="_INE1">#REF!</definedName>
    <definedName name="_ipc2000">#REF!</definedName>
    <definedName name="_ipc2001">#REF!</definedName>
    <definedName name="_ipc2002">#REF!</definedName>
    <definedName name="_ipc2003">#REF!</definedName>
    <definedName name="_ipc98">#REF!</definedName>
    <definedName name="_ipc99">#REF!</definedName>
    <definedName name="_me98">[10]Programa!#REF!</definedName>
    <definedName name="_mk14">[12]NFPEntps!#REF!</definedName>
    <definedName name="_npp2000">#REF!</definedName>
    <definedName name="_npp2001">#REF!</definedName>
    <definedName name="_npp2002">#REF!</definedName>
    <definedName name="_npp2003">#REF!</definedName>
    <definedName name="_npp98">#REF!</definedName>
    <definedName name="_npp99">#REF!</definedName>
    <definedName name="_Order1" hidden="1">255</definedName>
    <definedName name="_OUT1">#REF!</definedName>
    <definedName name="_OUT2">'[4]Serv&amp;Trans'!#REF!</definedName>
    <definedName name="_OUT3">#REF!</definedName>
    <definedName name="_OUT4">#REF!</definedName>
    <definedName name="_OUT5">#REF!</definedName>
    <definedName name="_OUT6">#REF!</definedName>
    <definedName name="_OUT7">#REF!</definedName>
    <definedName name="_Parse_Out" hidden="1">#REF!</definedName>
    <definedName name="_pib2000">#REF!</definedName>
    <definedName name="_pib2001">#REF!</definedName>
    <definedName name="_pib2002">#REF!</definedName>
    <definedName name="_pib2003">#REF!</definedName>
    <definedName name="_pib98">[10]Programa!#REF!</definedName>
    <definedName name="_pib99">#REF!</definedName>
    <definedName name="_POR96">#REF!</definedName>
    <definedName name="_PRN96">#REF!</definedName>
    <definedName name="_Regression_Int" hidden="1">1</definedName>
    <definedName name="_Regression_Out" hidden="1">[11]C!$AK$18:$AK$18</definedName>
    <definedName name="_Regression_X" hidden="1">[11]C!$AK$11:$AU$11</definedName>
    <definedName name="_Regression_Y" hidden="1">[11]C!$AK$10:$AU$10</definedName>
    <definedName name="_sel10" localSheetId="1">'[2]EVALUACIÓN SOCIOECONÓMICA'!#REF!</definedName>
    <definedName name="_sel10">'[2]EVALUACIÓN SOCIOECONÓMICA'!#REF!</definedName>
    <definedName name="_sel11" localSheetId="1">'[2]EVALUACIÓN SOCIOECONÓMICA'!#REF!</definedName>
    <definedName name="_sel11">'[2]EVALUACIÓN SOCIOECONÓMICA'!#REF!</definedName>
    <definedName name="_sel12" localSheetId="1">'[2]EVALUACIÓN PRIVADA'!#REF!</definedName>
    <definedName name="_sel12">'[2]EVALUACIÓN PRIVADA'!#REF!</definedName>
    <definedName name="_sel13" localSheetId="1">'[2]EVALUACIÓN PRIVADA'!#REF!</definedName>
    <definedName name="_sel13">'[2]EVALUACIÓN PRIVADA'!#REF!</definedName>
    <definedName name="_sel14" localSheetId="1">'[2]EVALUACIÓN PRIVADA'!#REF!</definedName>
    <definedName name="_sel14">'[2]EVALUACIÓN PRIVADA'!#REF!</definedName>
    <definedName name="_sel16" localSheetId="1">'[2]EVALUACIÓN PRIVADA'!#REF!</definedName>
    <definedName name="_sel16">'[2]EVALUACIÓN PRIVADA'!#REF!</definedName>
    <definedName name="_sel18" localSheetId="1">[2]FINANCIACIÓN!#REF!</definedName>
    <definedName name="_sel18">[2]FINANCIACIÓN!#REF!</definedName>
    <definedName name="_sel22" localSheetId="1">'[2]EVALUACIÓN PRIVADA'!#REF!</definedName>
    <definedName name="_sel22">'[2]EVALUACIÓN PRIVADA'!#REF!</definedName>
    <definedName name="_sel23" localSheetId="1">'[2]EVALUACIÓN SOCIOECONÓMICA'!#REF!</definedName>
    <definedName name="_sel23">'[2]EVALUACIÓN SOCIOECONÓMICA'!#REF!</definedName>
    <definedName name="_sel24" localSheetId="1">'[2]EVALUACIÓN SOCIOECONÓMICA'!#REF!</definedName>
    <definedName name="_sel24">'[2]EVALUACIÓN SOCIOECONÓMICA'!#REF!</definedName>
    <definedName name="_sel31" localSheetId="1">'[2]EVALUACIÓN PRIVADA'!#REF!</definedName>
    <definedName name="_sel31">'[2]EVALUACIÓN PRIVADA'!#REF!</definedName>
    <definedName name="_sel32" localSheetId="1">'[2]EVALUACIÓN PRIVADA'!#REF!</definedName>
    <definedName name="_sel32">'[2]EVALUACIÓN PRIVADA'!#REF!</definedName>
    <definedName name="_sel33" localSheetId="1">'[2]EVALUACIÓN SOCIOECONÓMICA'!#REF!</definedName>
    <definedName name="_sel33">'[2]EVALUACIÓN SOCIOECONÓMICA'!#REF!</definedName>
    <definedName name="_sel34" localSheetId="1">'[2]EVALUACIÓN SOCIOECONÓMICA'!#REF!</definedName>
    <definedName name="_sel34">'[2]EVALUACIÓN SOCIOECONÓMICA'!#REF!</definedName>
    <definedName name="_sel5" localSheetId="1">[2]ALTERNATIVAS!#REF!</definedName>
    <definedName name="_sel5">[2]ALTERNATIVAS!#REF!</definedName>
    <definedName name="_sel6" localSheetId="1">'[2]EVALUACIÓN SOCIOECONÓMICA'!#REF!</definedName>
    <definedName name="_sel6">'[2]EVALUACIÓN SOCIOECONÓMICA'!#REF!</definedName>
    <definedName name="_sel7" localSheetId="1">'[2]EVALUACIÓN SOCIOECONÓMICA'!#REF!</definedName>
    <definedName name="_sel7">'[2]EVALUACIÓN SOCIOECONÓMICA'!#REF!</definedName>
    <definedName name="_sel8" localSheetId="1">'[2]EVALUACIÓN SOCIOECONÓMICA'!#REF!</definedName>
    <definedName name="_sel8">'[2]EVALUACIÓN SOCIOECONÓMICA'!#REF!</definedName>
    <definedName name="_sel9" localSheetId="1">'[2]EVALUACIÓN SOCIOECONÓMICA'!#REF!</definedName>
    <definedName name="_sel9">'[2]EVALUACIÓN SOCIOECONÓMICA'!#REF!</definedName>
    <definedName name="_SRN96">#REF!</definedName>
    <definedName name="_SRT11" localSheetId="0" hidden="1">{"Minpmon",#N/A,FALSE,"Monthinput"}</definedName>
    <definedName name="_SRT11" hidden="1">{"Minpmon",#N/A,FALSE,"Monthinput"}</definedName>
    <definedName name="_tAB4">#REF!</definedName>
    <definedName name="_tot2">'[2]EVALUACIÓN PRIVADA'!#REF!</definedName>
    <definedName name="_tot3">'[2]EVALUACIÓN PRIVADA'!#REF!</definedName>
    <definedName name="_UES96">#REF!</definedName>
    <definedName name="_xlcn.WorksheetConnection_Annexes_Emargement.xlsxChapitre1" hidden="1">[13]!Chapitre[#Data]</definedName>
    <definedName name="_xlcn.WorksheetConnection_Annexes_Emargement.xlsxEmargement1" hidden="1">[13]!Emargement[#Data]</definedName>
    <definedName name="_xlcn.WorksheetConnection_Annexes_Emargement.xlsxMinistere1" hidden="1">[13]!Ministere[#Data]</definedName>
    <definedName name="_xlcn.WorksheetConnection_Annexes_Emargement.xlsxPouvoir1" hidden="1">[13]!Pouvoir[#Data]</definedName>
    <definedName name="_xlcn.WorksheetConnection_Annexes_Emargement.xlsxSecteur1" hidden="1">[13]!Secteur[#Data]</definedName>
    <definedName name="_xlcn.WorksheetConnection_Annexes_Emargement.xlsxSection1" hidden="1">[13]!Section[#Data]</definedName>
    <definedName name="_xlcn.WorksheetConnection_PIP.xlsxCHAPITRE1" hidden="1">[14]!CHAPITRE[#Data]</definedName>
    <definedName name="_xlcn.WorksheetConnection_PIP.xlsxFONCT1" hidden="1">[14]!FONCT[#Data]</definedName>
    <definedName name="_xlcn.WorksheetConnection_PIP.xlsxINSTANCE1" hidden="1">[14]!INSTANCE[#Data]</definedName>
    <definedName name="_xlcn.WorksheetConnection_PIP.xlsxLOCALISATION1" hidden="1">[14]!LOCALISATION[#Data]</definedName>
    <definedName name="_xlcn.WorksheetConnection_PIP.xlsxMINISTERE1" hidden="1">[14]!MINISTERE[#Data]</definedName>
    <definedName name="_xlcn.WorksheetConnection_PIP.xlsxPOUVOIR1" hidden="1">[14]!POUVOIR[#Data]</definedName>
    <definedName name="_xlcn.WorksheetConnection_PIP.xlsxPROGRAMME1" hidden="1">[14]!PROGRAMME[#Data]</definedName>
    <definedName name="_xlcn.WorksheetConnection_PIP.xlsxPROJET1" hidden="1">[14]!PROJET[#Data]</definedName>
    <definedName name="_xlcn.WorksheetConnection_PIP.xlsxREFONDATION1" hidden="1">[14]!REFONDATION[#Data]</definedName>
    <definedName name="_xlcn.WorksheetConnection_PIP.xlsxSDRP1" hidden="1">[14]!SDRP[#Data]</definedName>
    <definedName name="_xlcn.WorksheetConnection_PIP.xlsxSECTEUR1" hidden="1">[14]!SECTEUR[#Data]</definedName>
    <definedName name="_xlcn.WorksheetConnection_PIP.xlsxSECTION1" hidden="1">[14]!SECTION[#Data]</definedName>
    <definedName name="_xlcn.WorksheetConnection_PIP.xlsxTYPE1" hidden="1">[14]!TYPE[#Data]</definedName>
    <definedName name="a">#REF!</definedName>
    <definedName name="A_impresión_IM">#REF!</definedName>
    <definedName name="A_MPCE">#REF!</definedName>
    <definedName name="AA">#REF!</definedName>
    <definedName name="AA__Contents_and_file_description">#REF!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hidden="1">{"Riqfin97",#N/A,FALSE,"Tran";"Riqfinpro",#N/A,FALSE,"Tran"}</definedName>
    <definedName name="aaaaaaaaaaaaaaaaaaaaaaaaaaaaaaaaaaaa">#REF!</definedName>
    <definedName name="abr">[10]Programa!#REF!</definedName>
    <definedName name="Accumulated_flows">[15]Program!#REF!</definedName>
    <definedName name="ACPAZ96">#REF!</definedName>
    <definedName name="ACTIVATE">#REF!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hme2000">#REF!</definedName>
    <definedName name="ahme2001">#REF!</definedName>
    <definedName name="ahme2002">#REF!</definedName>
    <definedName name="ahme2003">#REF!</definedName>
    <definedName name="ahme98">[10]Programa!#REF!</definedName>
    <definedName name="ahme98s">#REF!</definedName>
    <definedName name="ahme99">#REF!</definedName>
    <definedName name="ahome">#REF!</definedName>
    <definedName name="ahome98">[10]Programa!#REF!</definedName>
    <definedName name="ahome98j">[10]Programa!#REF!</definedName>
    <definedName name="ahorro">#REF!</definedName>
    <definedName name="ahorro2000">#REF!</definedName>
    <definedName name="ahorro2001">#REF!</definedName>
    <definedName name="ahorro2002">#REF!</definedName>
    <definedName name="ahorro2003">#REF!</definedName>
    <definedName name="ahorro98">[10]Programa!#REF!</definedName>
    <definedName name="ahorro98j">[10]Programa!#REF!</definedName>
    <definedName name="ahorro98s">#REF!</definedName>
    <definedName name="ahorro99">#REF!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JUST">#REF!</definedName>
    <definedName name="ajust0">#REF!</definedName>
    <definedName name="ajust1">#REF!</definedName>
    <definedName name="ajustsal">#REF!</definedName>
    <definedName name="ajustsal_1">#REF!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INEA" localSheetId="1">'execution_au_30-09-19'!$D$4:$D$958</definedName>
    <definedName name="alkor">[2]ALTERNATIVAS!#REF!</definedName>
    <definedName name="all">#REF!</definedName>
    <definedName name="alternativa">[2]ALTERNATIVAS!#REF!</definedName>
    <definedName name="AlternativaSeleccionada">'[2]ANÁLISIS DE SENSIBILIDAD'!#REF!</definedName>
    <definedName name="amortext">#REF!</definedName>
    <definedName name="amortint">#REF!</definedName>
    <definedName name="ANDA96">#REF!</definedName>
    <definedName name="AÑO_1999">#REF!</definedName>
    <definedName name="años2">'[2]EVALUACIÓN PRIVADA'!#REF!</definedName>
    <definedName name="años3">'[2]EVALUACIÓN PRIVADA'!#REF!</definedName>
    <definedName name="ANTECEDENTES" localSheetId="1">[2]PREPARACION!#REF!</definedName>
    <definedName name="ANTECEDENTES">[2]PREPARACION!#REF!</definedName>
    <definedName name="ANTEL96">#REF!</definedName>
    <definedName name="ANTERIEUR" localSheetId="1">'execution_au_30-09-19'!$F$4:$F$958</definedName>
    <definedName name="ANTERIEUR">[16]mensuel_section_alinea!#REF!</definedName>
    <definedName name="AOUT" localSheetId="1">'execution_au_30-09-19'!#REF!</definedName>
    <definedName name="ARCHIVES">'[17]NOUVEAUX-PROGRAMMES 2012-2013_'!$F$1004</definedName>
    <definedName name="areor">#REF!</definedName>
    <definedName name="as" localSheetId="0" hidden="1">{"Minpmon",#N/A,FALSE,"Monthinput"}</definedName>
    <definedName name="as" hidden="1">{"Minpmon",#N/A,FALSE,"Monthinput"}</definedName>
    <definedName name="aug">[18]section_article!#REF!</definedName>
    <definedName name="Autres" localSheetId="0" hidden="1">{"Riqfin97",#N/A,FALSE,"Tran";"Riqfinpro",#N/A,FALSE,"Tran"}</definedName>
    <definedName name="Autres" hidden="1">{"Riqfin97",#N/A,FALSE,"Tran";"Riqfinpro",#N/A,FALSE,"Tran"}</definedName>
    <definedName name="AVRIL" localSheetId="1">'execution_au_30-09-19'!#REF!</definedName>
    <definedName name="b">#REF!</definedName>
    <definedName name="B_MEF">#REF!</definedName>
    <definedName name="B_S">#REF!</definedName>
    <definedName name="bancos">#REF!</definedName>
    <definedName name="BANCOS_COMERCIALES">#REF!</definedName>
    <definedName name="Bank_soundness">#REF!</definedName>
    <definedName name="BaseYear">#REF!</definedName>
    <definedName name="Basic_Data">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__Data_Exports_from_Real__Sector_File">#REF!</definedName>
    <definedName name="BB__Data_Imports_from_BOP_File">#REF!</definedName>
    <definedName name="BB__Data_Imports_from_Fiscal_File">#REF!</definedName>
    <definedName name="BB__Data_Imports_from_Monetary_File">#REF!</definedName>
    <definedName name="BB__Data_inputs_for_projections">#REF!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1">'[2]EVALUACIÓN PRIVADA'!#REF!</definedName>
    <definedName name="bcaeinicial2">'[2]EVALUACIÓN PRIVADA'!#REF!</definedName>
    <definedName name="bcaeinicial3" localSheetId="1">'[2]EVALUACIÓN PRIVADA'!#REF!</definedName>
    <definedName name="bcaeinicial3">'[2]EVALUACIÓN PRIVADA'!#REF!</definedName>
    <definedName name="bcaminicial2" localSheetId="1">'[2]EVALUACIÓN PRIVADA'!#REF!</definedName>
    <definedName name="bcaminicial2">'[2]EVALUACIÓN PRIVADA'!#REF!</definedName>
    <definedName name="bcaminicial3" localSheetId="1">'[2]EVALUACIÓN PRIVADA'!#REF!</definedName>
    <definedName name="bcaminicial3">'[2]EVALUACIÓN PRIVADA'!#REF!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>[10]Programa!#REF!</definedName>
    <definedName name="BENE">[19]Liste!#REF!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K">#N/A</definedName>
    <definedName name="BKF">#N/A</definedName>
    <definedName name="BMG">[20]Q6!$E$28:$AH$28</definedName>
    <definedName name="BMII">#N/A</definedName>
    <definedName name="BMIIB">#N/A</definedName>
    <definedName name="BMIIG">#N/A</definedName>
    <definedName name="BOP">#REF!</definedName>
    <definedName name="BOP_Q96">#REF!</definedName>
    <definedName name="BOP_Q97">#REF!</definedName>
    <definedName name="BOP_SUM">#REF!</definedName>
    <definedName name="BXG">[20]Q6!$E$26:$AH$26</definedName>
    <definedName name="C_MARNDR">#REF!</definedName>
    <definedName name="caep2">'[2]EVALUACIÓN PRIVADA'!#REF!</definedName>
    <definedName name="caep3">'[2]EVALUACIÓN PRIVADA'!#REF!</definedName>
    <definedName name="caes2" localSheetId="1">'[2]EVALUACIÓN SOCIOECONÓMICA'!#REF!</definedName>
    <definedName name="caes2">'[2]EVALUACIÓN SOCIOECONÓMICA'!#REF!</definedName>
    <definedName name="caes3" localSheetId="1">'[2]EVALUACIÓN SOCIOECONÓMICA'!#REF!</definedName>
    <definedName name="caes3">'[2]EVALUACIÓN SOCIOECONÓMICA'!#REF!</definedName>
    <definedName name="CAJA">#REF!</definedName>
    <definedName name="calcNGS_NGDP">#N/A</definedName>
    <definedName name="CAT">#REF!</definedName>
    <definedName name="categorie" localSheetId="0">OFFSET([21]Code!$A$2,0,0,COUNTA([21]Code!$A:$A)-1,1)</definedName>
    <definedName name="categorie">OFFSET([22]Code!$A$2,0,0,COUNTA([22]Code!$A:$A)-1,1)</definedName>
    <definedName name="categoriedesc" localSheetId="0">OFFSET([21]Code!$A$2,0,0,COUNTA([21]Code!$A:$A)-1,2)</definedName>
    <definedName name="categoriedesc">OFFSET([22]Code!$A$2,0,0,COUNTA([22]Code!$A:$A)-1,2)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_1">#REF!</definedName>
    <definedName name="CC_1__CPI_data">#REF!</definedName>
    <definedName name="CC_1__GDP_by_Final_Demand_Component">#REF!</definedName>
    <definedName name="CC_1__Gross_Domestic_Investment">#REF!</definedName>
    <definedName name="CC_1__National_Income_at_current_prices">#REF!</definedName>
    <definedName name="CC_1__Real_GDP_by_Sector">#REF!</definedName>
    <definedName name="CC_1__Selected_Wage_Indicators">#REF!</definedName>
    <definedName name="CC_1__Statistics_Agriculture">#REF!</definedName>
    <definedName name="CC_1__Statistics_Manufacturing_Production">#REF!</definedName>
    <definedName name="CC_2">#REF!</definedName>
    <definedName name="ccbccr">#REF!</definedName>
    <definedName name="ccc">#N/A</definedName>
    <definedName name="cccc">#N/A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me">#REF!</definedName>
    <definedName name="ccme2000">#REF!</definedName>
    <definedName name="ccme2001">#REF!</definedName>
    <definedName name="ccme2002">#REF!</definedName>
    <definedName name="ccme2003">#REF!</definedName>
    <definedName name="ccme98">[10]Programa!#REF!</definedName>
    <definedName name="ccme98j">[10]Programa!#REF!</definedName>
    <definedName name="ccme98s">#REF!</definedName>
    <definedName name="ccme99">#REF!</definedName>
    <definedName name="CCode">[23]Codes!$A$2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elda0">[2]PREPARACION!#REF!</definedName>
    <definedName name="celda10">'[2]EVALUACIÓN SOCIOECONÓMICA'!#REF!</definedName>
    <definedName name="celda10a" localSheetId="1">'[2]EVALUACIÓN SOCIOECONÓMICA'!#REF!</definedName>
    <definedName name="celda10a">'[2]EVALUACIÓN SOCIOECONÓMICA'!#REF!</definedName>
    <definedName name="celda11" localSheetId="1">'[2]EVALUACIÓN SOCIOECONÓMICA'!#REF!</definedName>
    <definedName name="celda11">'[2]EVALUACIÓN SOCIOECONÓMICA'!#REF!</definedName>
    <definedName name="celda11a" localSheetId="1">'[2]EVALUACIÓN SOCIOECONÓMICA'!#REF!</definedName>
    <definedName name="celda11a">'[2]EVALUACIÓN SOCIOECONÓMICA'!#REF!</definedName>
    <definedName name="celda12" localSheetId="1">'[2]EVALUACIÓN PRIVADA'!#REF!</definedName>
    <definedName name="celda12">'[2]EVALUACIÓN PRIVADA'!#REF!</definedName>
    <definedName name="celda12a" localSheetId="1">'[2]EVALUACIÓN PRIVADA'!#REF!</definedName>
    <definedName name="celda12a">'[2]EVALUACIÓN PRIVADA'!#REF!</definedName>
    <definedName name="celda13" localSheetId="1">'[2]EVALUACIÓN PRIVADA'!#REF!</definedName>
    <definedName name="celda13">'[2]EVALUACIÓN PRIVADA'!#REF!</definedName>
    <definedName name="celda13a" localSheetId="1">'[2]EVALUACIÓN PRIVADA'!#REF!</definedName>
    <definedName name="celda13a">'[2]EVALUACIÓN PRIVADA'!#REF!</definedName>
    <definedName name="celda14" localSheetId="1">'[2]EVALUACIÓN PRIVADA'!#REF!</definedName>
    <definedName name="celda14">'[2]EVALUACIÓN PRIVADA'!#REF!</definedName>
    <definedName name="celda14a" localSheetId="1">'[2]EVALUACIÓN PRIVADA'!#REF!</definedName>
    <definedName name="celda14a">'[2]EVALUACIÓN PRIVADA'!#REF!</definedName>
    <definedName name="celda15" localSheetId="1">'[2]EVALUACIÓN PRIVADA'!#REF!</definedName>
    <definedName name="celda15">'[2]EVALUACIÓN PRIVADA'!#REF!</definedName>
    <definedName name="celda16" localSheetId="1">'[2]EVALUACIÓN PRIVADA'!#REF!</definedName>
    <definedName name="celda16">'[2]EVALUACIÓN PRIVADA'!#REF!</definedName>
    <definedName name="celda16a" localSheetId="1">'[2]EVALUACIÓN PRIVADA'!#REF!</definedName>
    <definedName name="celda16a">'[2]EVALUACIÓN PRIVADA'!#REF!</definedName>
    <definedName name="celda18" localSheetId="1">[2]FINANCIACIÓN!#REF!</definedName>
    <definedName name="celda18">[2]FINANCIACIÓN!#REF!</definedName>
    <definedName name="celda18b" localSheetId="1">[2]FINANCIACIÓN!#REF!</definedName>
    <definedName name="celda18b">[2]FINANCIACIÓN!#REF!</definedName>
    <definedName name="celda19" localSheetId="1">[2]PREPARACION!#REF!</definedName>
    <definedName name="celda19">[2]PREPARACION!#REF!</definedName>
    <definedName name="celda20" localSheetId="1">[2]ALTERNATIVAS!#REF!</definedName>
    <definedName name="celda20">[2]ALTERNATIVAS!#REF!</definedName>
    <definedName name="celda21c" localSheetId="1">'[2]EVALUACIÓN PRIVADA'!#REF!</definedName>
    <definedName name="celda21c">'[2]EVALUACIÓN PRIVADA'!#REF!</definedName>
    <definedName name="celda22" localSheetId="1">'[2]EVALUACIÓN PRIVADA'!#REF!</definedName>
    <definedName name="celda22">'[2]EVALUACIÓN PRIVADA'!#REF!</definedName>
    <definedName name="celda22a" localSheetId="1">'[2]EVALUACIÓN PRIVADA'!#REF!</definedName>
    <definedName name="celda22a">'[2]EVALUACIÓN PRIVADA'!#REF!</definedName>
    <definedName name="celda22b" localSheetId="1">'[2]EVALUACIÓN PRIVADA'!#REF!</definedName>
    <definedName name="celda22b">'[2]EVALUACIÓN PRIVADA'!#REF!</definedName>
    <definedName name="celda22c" localSheetId="1">'[2]EVALUACIÓN PRIVADA'!#REF!</definedName>
    <definedName name="celda22c">'[2]EVALUACIÓN PRIVADA'!#REF!</definedName>
    <definedName name="celda22d" localSheetId="1">'[2]EVALUACIÓN PRIVADA'!#REF!</definedName>
    <definedName name="celda22d">'[2]EVALUACIÓN PRIVADA'!#REF!</definedName>
    <definedName name="celda22e" localSheetId="1">'[2]EVALUACIÓN PRIVADA'!#REF!</definedName>
    <definedName name="celda22e">'[2]EVALUACIÓN PRIVADA'!#REF!</definedName>
    <definedName name="celda22f" localSheetId="1">'[2]EVALUACIÓN PRIVADA'!#REF!</definedName>
    <definedName name="celda22f">'[2]EVALUACIÓN PRIVADA'!#REF!</definedName>
    <definedName name="celda22g" localSheetId="1">'[2]EVALUACIÓN PRIVADA'!#REF!</definedName>
    <definedName name="celda22g">'[2]EVALUACIÓN PRIVADA'!#REF!</definedName>
    <definedName name="celda22h" localSheetId="1">'[2]EVALUACIÓN PRIVADA'!#REF!</definedName>
    <definedName name="celda22h">'[2]EVALUACIÓN PRIVADA'!#REF!</definedName>
    <definedName name="celda22i" localSheetId="1">'[2]EVALUACIÓN PRIVADA'!#REF!</definedName>
    <definedName name="celda22i">'[2]EVALUACIÓN PRIVADA'!#REF!</definedName>
    <definedName name="celda22j" localSheetId="1">'[2]EVALUACIÓN PRIVADA'!#REF!</definedName>
    <definedName name="celda22j">'[2]EVALUACIÓN PRIVADA'!#REF!</definedName>
    <definedName name="celda23" localSheetId="1">'[2]EVALUACIÓN SOCIOECONÓMICA'!#REF!</definedName>
    <definedName name="celda23">'[2]EVALUACIÓN SOCIOECONÓMICA'!#REF!</definedName>
    <definedName name="celda23a" localSheetId="1">'[2]EVALUACIÓN SOCIOECONÓMICA'!#REF!</definedName>
    <definedName name="celda23a">'[2]EVALUACIÓN SOCIOECONÓMICA'!#REF!</definedName>
    <definedName name="celda23b" localSheetId="1">'[2]EVALUACIÓN SOCIOECONÓMICA'!#REF!</definedName>
    <definedName name="celda23b">'[2]EVALUACIÓN SOCIOECONÓMICA'!#REF!</definedName>
    <definedName name="celda23c" localSheetId="1">'[2]EVALUACIÓN SOCIOECONÓMICA'!#REF!</definedName>
    <definedName name="celda23c">'[2]EVALUACIÓN SOCIOECONÓMICA'!#REF!</definedName>
    <definedName name="celda24" localSheetId="1">'[2]EVALUACIÓN SOCIOECONÓMICA'!#REF!</definedName>
    <definedName name="celda24">'[2]EVALUACIÓN SOCIOECONÓMICA'!#REF!</definedName>
    <definedName name="celda24a" localSheetId="1">'[2]EVALUACIÓN SOCIOECONÓMICA'!#REF!</definedName>
    <definedName name="celda24a">'[2]EVALUACIÓN SOCIOECONÓMICA'!#REF!</definedName>
    <definedName name="celda24b" localSheetId="1">'[2]EVALUACIÓN SOCIOECONÓMICA'!#REF!</definedName>
    <definedName name="celda24b">'[2]EVALUACIÓN SOCIOECONÓMICA'!#REF!</definedName>
    <definedName name="celda24c" localSheetId="1">'[2]EVALUACIÓN SOCIOECONÓMICA'!#REF!</definedName>
    <definedName name="celda24c">'[2]EVALUACIÓN SOCIOECONÓMICA'!#REF!</definedName>
    <definedName name="celda24d" localSheetId="1">'[2]EVALUACIÓN SOCIOECONÓMICA'!#REF!</definedName>
    <definedName name="celda24d">'[2]EVALUACIÓN SOCIOECONÓMICA'!#REF!</definedName>
    <definedName name="celda24e" localSheetId="1">'[2]EVALUACIÓN SOCIOECONÓMICA'!#REF!</definedName>
    <definedName name="celda24e">'[2]EVALUACIÓN SOCIOECONÓMICA'!#REF!</definedName>
    <definedName name="celda24f" localSheetId="1">'[2]EVALUACIÓN SOCIOECONÓMICA'!#REF!</definedName>
    <definedName name="celda24f">'[2]EVALUACIÓN SOCIOECONÓMICA'!#REF!</definedName>
    <definedName name="celda24g" localSheetId="1">'[2]EVALUACIÓN SOCIOECONÓMICA'!#REF!</definedName>
    <definedName name="celda24g">'[2]EVALUACIÓN SOCIOECONÓMICA'!#REF!</definedName>
    <definedName name="celda24h" localSheetId="1">'[2]EVALUACIÓN SOCIOECONÓMICA'!#REF!</definedName>
    <definedName name="celda24h">'[2]EVALUACIÓN SOCIOECONÓMICA'!#REF!</definedName>
    <definedName name="celda25" localSheetId="1">'[2]EVALUACIÓN SOCIOECONÓMICA'!#REF!</definedName>
    <definedName name="celda25">'[2]EVALUACIÓN SOCIOECONÓMICA'!#REF!</definedName>
    <definedName name="celda26" localSheetId="1">'[2]EVALUACIÓN SOCIOECONÓMICA'!#REF!</definedName>
    <definedName name="celda26">'[2]EVALUACIÓN SOCIOECONÓMICA'!#REF!</definedName>
    <definedName name="celda27" localSheetId="1">'[2]EVALUACIÓN SOCIOECONÓMICA'!#REF!</definedName>
    <definedName name="celda27">'[2]EVALUACIÓN SOCIOECONÓMICA'!#REF!</definedName>
    <definedName name="celda28" localSheetId="1">'[2]EVALUACIÓN SOCIOECONÓMICA'!#REF!</definedName>
    <definedName name="celda28">'[2]EVALUACIÓN SOCIOECONÓMICA'!#REF!</definedName>
    <definedName name="celda29" localSheetId="1">'[2]EVALUACIÓN PRIVADA'!#REF!</definedName>
    <definedName name="celda29">'[2]EVALUACIÓN PRIVADA'!#REF!</definedName>
    <definedName name="celda2h" localSheetId="1">'[2]EVALUACIÓN PRIVADA'!#REF!</definedName>
    <definedName name="celda2h">'[2]EVALUACIÓN PRIVADA'!#REF!</definedName>
    <definedName name="celda2i" localSheetId="1">'[2]EVALUACIÓN PRIVADA'!#REF!</definedName>
    <definedName name="celda2i">'[2]EVALUACIÓN PRIVADA'!#REF!</definedName>
    <definedName name="celda30" localSheetId="1">'[2]EVALUACIÓN PRIVADA'!#REF!</definedName>
    <definedName name="celda30">'[2]EVALUACIÓN PRIVADA'!#REF!</definedName>
    <definedName name="celda31" localSheetId="1">'[2]EVALUACIÓN PRIVADA'!#REF!</definedName>
    <definedName name="celda31">'[2]EVALUACIÓN PRIVADA'!#REF!</definedName>
    <definedName name="celda31a" localSheetId="1">'[2]EVALUACIÓN PRIVADA'!#REF!</definedName>
    <definedName name="celda31a">'[2]EVALUACIÓN PRIVADA'!#REF!</definedName>
    <definedName name="celda31b" localSheetId="1">'[2]EVALUACIÓN PRIVADA'!#REF!</definedName>
    <definedName name="celda31b">'[2]EVALUACIÓN PRIVADA'!#REF!</definedName>
    <definedName name="celda31c" localSheetId="1">'[2]EVALUACIÓN PRIVADA'!#REF!</definedName>
    <definedName name="celda31c">'[2]EVALUACIÓN PRIVADA'!#REF!</definedName>
    <definedName name="celda32" localSheetId="1">'[2]EVALUACIÓN PRIVADA'!#REF!</definedName>
    <definedName name="celda32">'[2]EVALUACIÓN PRIVADA'!#REF!</definedName>
    <definedName name="celda32a" localSheetId="1">'[2]EVALUACIÓN PRIVADA'!#REF!</definedName>
    <definedName name="celda32a">'[2]EVALUACIÓN PRIVADA'!#REF!</definedName>
    <definedName name="celda32b" localSheetId="1">'[2]EVALUACIÓN PRIVADA'!#REF!</definedName>
    <definedName name="celda32b">'[2]EVALUACIÓN PRIVADA'!#REF!</definedName>
    <definedName name="celda32c" localSheetId="1">'[2]EVALUACIÓN PRIVADA'!#REF!</definedName>
    <definedName name="celda32c">'[2]EVALUACIÓN PRIVADA'!#REF!</definedName>
    <definedName name="celda32d" localSheetId="1">'[2]EVALUACIÓN PRIVADA'!#REF!</definedName>
    <definedName name="celda32d">'[2]EVALUACIÓN PRIVADA'!#REF!</definedName>
    <definedName name="celda32e" localSheetId="1">'[2]EVALUACIÓN PRIVADA'!#REF!</definedName>
    <definedName name="celda32e">'[2]EVALUACIÓN PRIVADA'!#REF!</definedName>
    <definedName name="celda32f" localSheetId="1">'[2]EVALUACIÓN PRIVADA'!#REF!</definedName>
    <definedName name="celda32f">'[2]EVALUACIÓN PRIVADA'!#REF!</definedName>
    <definedName name="celda32g" localSheetId="1">'[2]EVALUACIÓN PRIVADA'!#REF!</definedName>
    <definedName name="celda32g">'[2]EVALUACIÓN PRIVADA'!#REF!</definedName>
    <definedName name="celda32h" localSheetId="1">'[2]EVALUACIÓN PRIVADA'!#REF!</definedName>
    <definedName name="celda32h">'[2]EVALUACIÓN PRIVADA'!#REF!</definedName>
    <definedName name="celda32i" localSheetId="1">'[2]EVALUACIÓN PRIVADA'!#REF!</definedName>
    <definedName name="celda32i">'[2]EVALUACIÓN PRIVADA'!#REF!</definedName>
    <definedName name="celda32j" localSheetId="1">'[2]EVALUACIÓN PRIVADA'!#REF!</definedName>
    <definedName name="celda32j">'[2]EVALUACIÓN PRIVADA'!#REF!</definedName>
    <definedName name="celda33" localSheetId="1">'[2]EVALUACIÓN SOCIOECONÓMICA'!#REF!</definedName>
    <definedName name="celda33">'[2]EVALUACIÓN SOCIOECONÓMICA'!#REF!</definedName>
    <definedName name="celda33a" localSheetId="1">'[2]EVALUACIÓN SOCIOECONÓMICA'!#REF!</definedName>
    <definedName name="celda33a">'[2]EVALUACIÓN SOCIOECONÓMICA'!#REF!</definedName>
    <definedName name="celda33b" localSheetId="1">'[2]EVALUACIÓN SOCIOECONÓMICA'!#REF!</definedName>
    <definedName name="celda33b">'[2]EVALUACIÓN SOCIOECONÓMICA'!#REF!</definedName>
    <definedName name="celda33c" localSheetId="1">'[2]EVALUACIÓN SOCIOECONÓMICA'!#REF!</definedName>
    <definedName name="celda33c">'[2]EVALUACIÓN SOCIOECONÓMICA'!#REF!</definedName>
    <definedName name="celda34" localSheetId="1">'[2]EVALUACIÓN SOCIOECONÓMICA'!#REF!</definedName>
    <definedName name="celda34">'[2]EVALUACIÓN SOCIOECONÓMICA'!#REF!</definedName>
    <definedName name="celda34a" localSheetId="1">'[2]EVALUACIÓN SOCIOECONÓMICA'!#REF!</definedName>
    <definedName name="celda34a">'[2]EVALUACIÓN SOCIOECONÓMICA'!#REF!</definedName>
    <definedName name="celda34b" localSheetId="1">'[2]EVALUACIÓN SOCIOECONÓMICA'!#REF!</definedName>
    <definedName name="celda34b">'[2]EVALUACIÓN SOCIOECONÓMICA'!#REF!</definedName>
    <definedName name="celda34c" localSheetId="1">'[2]EVALUACIÓN SOCIOECONÓMICA'!#REF!</definedName>
    <definedName name="celda34c">'[2]EVALUACIÓN SOCIOECONÓMICA'!#REF!</definedName>
    <definedName name="celda34d" localSheetId="1">'[2]EVALUACIÓN SOCIOECONÓMICA'!#REF!</definedName>
    <definedName name="celda34d">'[2]EVALUACIÓN SOCIOECONÓMICA'!#REF!</definedName>
    <definedName name="celda34e" localSheetId="1">'[2]EVALUACIÓN SOCIOECONÓMICA'!#REF!</definedName>
    <definedName name="celda34e">'[2]EVALUACIÓN SOCIOECONÓMICA'!#REF!</definedName>
    <definedName name="celda34f" localSheetId="1">'[2]EVALUACIÓN SOCIOECONÓMICA'!#REF!</definedName>
    <definedName name="celda34f">'[2]EVALUACIÓN SOCIOECONÓMICA'!#REF!</definedName>
    <definedName name="celda34g" localSheetId="1">'[2]EVALUACIÓN SOCIOECONÓMICA'!#REF!</definedName>
    <definedName name="celda34g">'[2]EVALUACIÓN SOCIOECONÓMICA'!#REF!</definedName>
    <definedName name="celda34h" localSheetId="1">'[2]EVALUACIÓN SOCIOECONÓMICA'!#REF!</definedName>
    <definedName name="celda34h">'[2]EVALUACIÓN SOCIOECONÓMICA'!#REF!</definedName>
    <definedName name="celda35" localSheetId="1">[2]FINANCIACIÓN!#REF!</definedName>
    <definedName name="celda35">[2]FINANCIACIÓN!#REF!</definedName>
    <definedName name="Celda36" localSheetId="1">[2]ALTERNATIVAS!#REF!</definedName>
    <definedName name="Celda36">[2]ALTERNATIVAS!#REF!</definedName>
    <definedName name="celda37" localSheetId="1">[2]ALTERNATIVAS!#REF!</definedName>
    <definedName name="celda37">[2]ALTERNATIVAS!#REF!</definedName>
    <definedName name="celda38" localSheetId="1">[2]ALTERNATIVAS!#REF!</definedName>
    <definedName name="celda38">[2]ALTERNATIVAS!#REF!</definedName>
    <definedName name="celda5" localSheetId="1">[2]ALTERNATIVAS!#REF!</definedName>
    <definedName name="celda5">[2]ALTERNATIVAS!#REF!</definedName>
    <definedName name="celda6" localSheetId="1">'[2]EVALUACIÓN SOCIOECONÓMICA'!#REF!</definedName>
    <definedName name="celda6">'[2]EVALUACIÓN SOCIOECONÓMICA'!#REF!</definedName>
    <definedName name="celda6a" localSheetId="1">'[2]EVALUACIÓN SOCIOECONÓMICA'!#REF!</definedName>
    <definedName name="celda6a">'[2]EVALUACIÓN SOCIOECONÓMICA'!#REF!</definedName>
    <definedName name="celda7" localSheetId="1">'[2]EVALUACIÓN SOCIOECONÓMICA'!#REF!</definedName>
    <definedName name="celda7">'[2]EVALUACIÓN SOCIOECONÓMICA'!#REF!</definedName>
    <definedName name="celda7a" localSheetId="1">'[2]EVALUACIÓN SOCIOECONÓMICA'!#REF!</definedName>
    <definedName name="celda7a">'[2]EVALUACIÓN SOCIOECONÓMICA'!#REF!</definedName>
    <definedName name="celda8" localSheetId="1">'[2]EVALUACIÓN SOCIOECONÓMICA'!#REF!</definedName>
    <definedName name="celda8">'[2]EVALUACIÓN SOCIOECONÓMICA'!#REF!</definedName>
    <definedName name="celda8a" localSheetId="1">'[2]EVALUACIÓN SOCIOECONÓMICA'!#REF!</definedName>
    <definedName name="celda8a">'[2]EVALUACIÓN SOCIOECONÓMICA'!#REF!</definedName>
    <definedName name="celda9" localSheetId="1">'[2]EVALUACIÓN SOCIOECONÓMICA'!#REF!</definedName>
    <definedName name="celda9">'[2]EVALUACIÓN SOCIOECONÓMICA'!#REF!</definedName>
    <definedName name="celda9a" localSheetId="1">'[2]EVALUACIÓN SOCIOECONÓMICA'!#REF!</definedName>
    <definedName name="celda9a">'[2]EVALUACIÓN SOCIOECONÓMICA'!#REF!</definedName>
    <definedName name="celdacontrol2" localSheetId="1">'[2]EVALUACIÓN SOCIOECONÓMICA'!#REF!</definedName>
    <definedName name="celdacontrol2">'[2]EVALUACIÓN SOCIOECONÓMICA'!#REF!</definedName>
    <definedName name="celdacontrol3" localSheetId="1">'[2]EVALUACIÓN SOCIOECONÓMICA'!#REF!</definedName>
    <definedName name="celdacontrol3">'[2]EVALUACIÓN SOCIOECONÓMICA'!#REF!</definedName>
    <definedName name="celdatotal" localSheetId="1">'[2]EVALUACIÓN SOCIOECONÓMICA'!#REF!</definedName>
    <definedName name="celdatotal">'[2]EVALUACIÓN SOCIOECONÓMICA'!#REF!</definedName>
    <definedName name="celdatotal2" localSheetId="1">'[2]EVALUACIÓN SOCIOECONÓMICA'!#REF!</definedName>
    <definedName name="celdatotal2">'[2]EVALUACIÓN SOCIOECONÓMICA'!#REF!</definedName>
    <definedName name="celdatotal3" localSheetId="1">'[2]EVALUACIÓN SOCIOECONÓMICA'!#REF!</definedName>
    <definedName name="celdatotal3">'[2]EVALUACIÓN SOCIOECONÓMICA'!#REF!</definedName>
    <definedName name="celdatotal4" localSheetId="1">'[2]EVALUACIÓN PRIVADA'!#REF!</definedName>
    <definedName name="celdatotal4">'[2]EVALUACIÓN PRIVADA'!#REF!</definedName>
    <definedName name="celdatotal5" localSheetId="1">'[2]EVALUACIÓN PRIVADA'!#REF!</definedName>
    <definedName name="celdatotal5">'[2]EVALUACIÓN PRIVADA'!#REF!</definedName>
    <definedName name="celdatotal6" localSheetId="1">'[2]EVALUACIÓN PRIVADA'!#REF!</definedName>
    <definedName name="celdatotal6">'[2]EVALUACIÓN PRIVADA'!#REF!</definedName>
    <definedName name="celdax" localSheetId="1">[2]PREPARACION!#REF!</definedName>
    <definedName name="celdax">[2]PREPARACION!#REF!</definedName>
    <definedName name="celdaxa" localSheetId="1">[2]PREPARACION!#REF!</definedName>
    <definedName name="celdaxa">[2]PREPARACION!#REF!</definedName>
    <definedName name="CENGOVT">#REF!</definedName>
    <definedName name="CEP">#REF!</definedName>
    <definedName name="CEPA96">#REF!</definedName>
    <definedName name="CGBUDG">#REF!</definedName>
    <definedName name="CGBUDG_">#REF!</definedName>
    <definedName name="CGEXBUDG">#REF!</definedName>
    <definedName name="CGFIS">#REF!</definedName>
    <definedName name="CGNRP">#REF!</definedName>
    <definedName name="CHAPITRE" localSheetId="0">#REF!</definedName>
    <definedName name="CHAPITRE">#REF!</definedName>
    <definedName name="CHAPITRE_" localSheetId="0">[24]FEV06!$B$12</definedName>
    <definedName name="CHAPITRE_">[25]FEV06!$B$12</definedName>
    <definedName name="CHAPITRE1" localSheetId="0">'[24]solde des crédits'!$B$12</definedName>
    <definedName name="CHAPITRE1">'[26]solde des crédits'!$B$12</definedName>
    <definedName name="chapitredesc" localSheetId="0">OFFSET([21]Code!$G$2,0,0,COUNTA([21]Code!$G:$G)-1,2)</definedName>
    <definedName name="chapitredesc">OFFSET([22]Code!$G$2,0,0,COUNTA([22]Code!$G:$G)-1,2)</definedName>
    <definedName name="cmbccr">#REF!</definedName>
    <definedName name="cmbcom">#REF!</definedName>
    <definedName name="cmsbn">#REF!</definedName>
    <definedName name="cnspnf">#REF!</definedName>
    <definedName name="componentes">[2]ALTERNATIVAS!#REF!</definedName>
    <definedName name="componentes2">[2]ALTERNATIVAS!#REF!</definedName>
    <definedName name="componentes3" localSheetId="1">[2]ALTERNATIVAS!#REF!</definedName>
    <definedName name="componentes3">[2]ALTERNATIVAS!#REF!</definedName>
    <definedName name="conor">#REF!</definedName>
    <definedName name="cons">#REF!</definedName>
    <definedName name="COUNTER">#REF!</definedName>
    <definedName name="CountryName">#REF!</definedName>
    <definedName name="CPI">#REF!</definedName>
    <definedName name="CPICUM">#REF!</definedName>
    <definedName name="cppc">'[2]EVALUACIÓN SOCIOECONÓMICA'!#REF!</definedName>
    <definedName name="cppc2">'[2]EVALUACIÓN SOCIOECONÓMICA'!#REF!</definedName>
    <definedName name="cppc3" localSheetId="1">'[2]EVALUACIÓN SOCIOECONÓMICA'!#REF!</definedName>
    <definedName name="cppc3">'[2]EVALUACIÓN SOCIOECONÓMICA'!#REF!</definedName>
    <definedName name="cppcp" localSheetId="1">'[2]EVALUACIÓN PRIVADA'!#REF!</definedName>
    <definedName name="cppcp">'[2]EVALUACIÓN PRIVADA'!#REF!</definedName>
    <definedName name="CRECWM">[27]SUPUESTOS!A$15</definedName>
    <definedName name="cred">#REF!</definedName>
    <definedName name="cred1">#REF!</definedName>
    <definedName name="cred2000">#REF!</definedName>
    <definedName name="cred2001">#REF!</definedName>
    <definedName name="cred2002">#REF!</definedName>
    <definedName name="cred2003">#REF!</definedName>
    <definedName name="cred98">[10]Programa!#REF!</definedName>
    <definedName name="cred98j">[10]Programa!#REF!</definedName>
    <definedName name="cred98s">#REF!</definedName>
    <definedName name="cred99">#REF!</definedName>
    <definedName name="CSCCA">#REF!</definedName>
    <definedName name="cuad1">#REF!</definedName>
    <definedName name="cuad10">#REF!</definedName>
    <definedName name="cuad11">#REF!</definedName>
    <definedName name="cuad12">#REF!</definedName>
    <definedName name="cuad13">#REF!</definedName>
    <definedName name="cuad14">#REF!</definedName>
    <definedName name="cuad15">#REF!</definedName>
    <definedName name="cuad16">#REF!</definedName>
    <definedName name="cuad17">#REF!</definedName>
    <definedName name="cuad18">#REF!</definedName>
    <definedName name="cuad19">#REF!</definedName>
    <definedName name="cuad2">#REF!</definedName>
    <definedName name="cuad20">#REF!</definedName>
    <definedName name="cuad21">#REF!</definedName>
    <definedName name="cuad22">#REF!</definedName>
    <definedName name="cuad23">#REF!</definedName>
    <definedName name="cuad24">#REF!</definedName>
    <definedName name="cuad25">#REF!</definedName>
    <definedName name="cuad3">#REF!</definedName>
    <definedName name="cuad4">#REF!</definedName>
    <definedName name="cuad5">#REF!</definedName>
    <definedName name="cuad6">#REF!</definedName>
    <definedName name="cuad7">#REF!</definedName>
    <definedName name="cuad8">#REF!</definedName>
    <definedName name="cuad9">#REF!</definedName>
    <definedName name="CUADR11">#REF!</definedName>
    <definedName name="CUADROI">#REF!</definedName>
    <definedName name="CUADROII">#REF!</definedName>
    <definedName name="CUADROIII">#REF!</definedName>
    <definedName name="CUADROIV">#REF!</definedName>
    <definedName name="CUADROV">#REF!</definedName>
    <definedName name="CUADROVI">#REF!</definedName>
    <definedName name="CUADROVII">#REF!</definedName>
    <definedName name="CULTES">#REF!</definedName>
    <definedName name="CurrVintage">[23]Current!$D$66</definedName>
    <definedName name="D">'[28]PIB EN CORR'!#REF!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>#REF!</definedName>
    <definedName name="dates">#REF!</definedName>
    <definedName name="DATES_A">#REF!</definedName>
    <definedName name="DBproj">#N/A</definedName>
    <definedName name="dcc98j">[10]Programa!#REF!</definedName>
    <definedName name="dcc98s">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__Charts_area">#REF!</definedName>
    <definedName name="DD__GDI">#REF!</definedName>
    <definedName name="DD__GDP_real_by_sector_of_origin">#REF!</definedName>
    <definedName name="DD__Labor_Productivity">#REF!</definedName>
    <definedName name="DD__National_Accounts_at_1958_prices_">#REF!</definedName>
    <definedName name="DD__National_Accounts_at_Current_Prices">#REF!</definedName>
    <definedName name="DD__National_Accounts_Deflators">#REF!</definedName>
    <definedName name="DD__Prices_CPI_all_items">#REF!</definedName>
    <definedName name="DD__Prices_CPI_by_components">#REF!</definedName>
    <definedName name="DD__Prices_Wage_Indicators">#REF!</definedName>
    <definedName name="DD__Selected_Agricultural_Sector_Statistics">#REF!</definedName>
    <definedName name="DD__Selected_Agricultural_Sector_Statistics__concluded">#REF!</definedName>
    <definedName name="DD_Index_of_employment">#REF!</definedName>
    <definedName name="DD_Indicators_of_emp_wages_ulc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hidden="1">{"Riqfin97",#N/A,FALSE,"Tran";"Riqfinpro",#N/A,FALSE,"Tran"}</definedName>
    <definedName name="DEBT">#REF!</definedName>
    <definedName name="DEBT_SER">#REF!</definedName>
    <definedName name="DECEMBRE" localSheetId="1">'execution_au_30-09-19'!#REF!</definedName>
    <definedName name="defesti">#REF!</definedName>
    <definedName name="deficit">#REF!</definedName>
    <definedName name="demandacubierta2">'[2]EVALUACIÓN SOCIOECONÓMICA'!#REF!</definedName>
    <definedName name="demandacubierta3">'[2]EVALUACIÓN SOCIOECONÓMICA'!#REF!</definedName>
    <definedName name="DemandaInicial2" localSheetId="1">'[2]EVALUACIÓN PRIVADA'!#REF!</definedName>
    <definedName name="DemandaInicial2">'[2]EVALUACIÓN PRIVADA'!#REF!</definedName>
    <definedName name="DemandaInicial3" localSheetId="1">'[2]EVALUACIÓN PRIVADA'!#REF!</definedName>
    <definedName name="DemandaInicial3">'[2]EVALUACIÓN PRIVADA'!#REF!</definedName>
    <definedName name="DemandaS2" localSheetId="1">'[2]EVALUACIÓN SOCIOECONÓMICA'!#REF!</definedName>
    <definedName name="DemandaS2">'[2]EVALUACIÓN SOCIOECONÓMICA'!#REF!</definedName>
    <definedName name="DemandaS3" localSheetId="1">'[2]EVALUACIÓN SOCIOECONÓMICA'!#REF!</definedName>
    <definedName name="DemandaS3">'[2]EVALUACIÓN SOCIOECONÓMICA'!#REF!</definedName>
    <definedName name="Department">#REF!</definedName>
    <definedName name="der" localSheetId="0" hidden="1">{"Tab1",#N/A,FALSE,"P";"Tab2",#N/A,FALSE,"P"}</definedName>
    <definedName name="der" hidden="1">{"Tab1",#N/A,FALSE,"P";"Tab2",#N/A,FALSE,"P"}</definedName>
    <definedName name="DESC96">#REF!</definedName>
    <definedName name="DEVISE">[19]Liste!#REF!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[29]NPV_base!$B$25</definedName>
    <definedName name="Discount_NC">[29]NPV_base!#REF!</definedName>
    <definedName name="DiscountRate">#REF!</definedName>
    <definedName name="divisas">'[2]EVALUACIÓN SOCIOECONÓMICA'!#REF!</definedName>
    <definedName name="divisas2">'[2]EVALUACIÓN SOCIOECONÓMICA'!#REF!</definedName>
    <definedName name="divisas3" localSheetId="1">'[2]EVALUACIÓN SOCIOECONÓMICA'!#REF!</definedName>
    <definedName name="divisas3">'[2]EVALUACIÓN SOCIOECONÓMICA'!#REF!</definedName>
    <definedName name="DMBYS">[27]RESULTADOS!$A$86:$IV$86</definedName>
    <definedName name="dnaissance">OFFSET(#REF!,0,0,COUNTA(#REF!),2)</definedName>
    <definedName name="DNP">[27]SUPUESTOS!A$18</definedName>
    <definedName name="DPOB">[27]SUPUESTOS!A$7</definedName>
    <definedName name="DRFP">'[27]SMONET-FINANC'!$A$99:$IV$99</definedName>
    <definedName name="DXBYS">[27]RESULTADOS!$A$82:$IV$82</definedName>
    <definedName name="E">'[28]PIB EN CORR'!#REF!</definedName>
    <definedName name="E_MCI">#REF!</definedName>
    <definedName name="EDH">'[17]NOUVEAUX-PROGRAMMES 2012-2013_'!$F$1001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_Table_02.___Selected_National_Accounts_Aggregates">#REF!</definedName>
    <definedName name="EE_Table_03.___Expenditure_and_Savings">#REF!</definedName>
    <definedName name="EE_Table_04.___Consumer_Price_Indices____1">#REF!</definedName>
    <definedName name="EE_Table_16.__National_Accounts_at_Current_Prices">#REF!</definedName>
    <definedName name="EE_Table_17___Real_Gross_Domestic_Expenditure">#REF!</definedName>
    <definedName name="EE_Table_18.__Real_Gross_Domestic_Product_by_Sector">#REF!</definedName>
    <definedName name="EE_Table_19.__Gross_Domestic_Investment">#REF!</definedName>
    <definedName name="EE_Table_20.__Selected_Agricultural_Sector_Statistics">#REF!</definedName>
    <definedName name="EE_Table_20.5__Ag_Sector_Statistics__concluded">#REF!</definedName>
    <definedName name="EE_Table_21.__Manufacturing_Production">#REF!</definedName>
    <definedName name="EE_Table_22.__Production_Exports_and_Imports_of_Petroleum">#REF!</definedName>
    <definedName name="EE_Table_23.__Retail_Prices_for_Petroleum_Products">#REF!</definedName>
    <definedName name="EE_Table_24.__Consumption_of_Petroleum_and_Derivatives">#REF!</definedName>
    <definedName name="EE_Table_25.__Production_and_Distribution_Electricity">#REF!</definedName>
    <definedName name="EE_Table_26.__Average_Price_of_Electricity">#REF!</definedName>
    <definedName name="EE_Table_27.__Guatemala___Consumer_Price_Indices__1">#REF!</definedName>
    <definedName name="EE_Table_28._Guatemala___Selected_Wage_Indicators_1">#REF!</definedName>
    <definedName name="EE_Table_29.__Minimum_Monthly_Wages_by_Economic_Activity">#REF!</definedName>
    <definedName name="EE_Table_30._Guatemala___Selected_Employment_and_Labor_Productivity_Indicators">#REF!</definedName>
    <definedName name="EE_Table_31._Wage_and_Employment_Indicators_1">#REF!</definedName>
    <definedName name="EE_Table_32_ULC_PROD_indicators">#REF!</definedName>
    <definedName name="EE_Table_33_Indicators_of_Competitiveness">#REF!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hidden="1">{"Riqfin97",#N/A,FALSE,"Tran";"Riqfinpro",#N/A,FALSE,"Tran"}</definedName>
    <definedName name="ele">#REF!</definedName>
    <definedName name="elect">#REF!</definedName>
    <definedName name="ELV">[30]FIN!#REF!</definedName>
    <definedName name="emargement">OFFSET(#REF!,0,0,COUNTA(#REF!),21)</definedName>
    <definedName name="emi98j">[10]Programa!#REF!</definedName>
    <definedName name="emi98s">#REF!</definedName>
    <definedName name="empezar">[2]ALTERNATIVAS!#REF!</definedName>
    <definedName name="encajec">#REF!</definedName>
    <definedName name="encajed">#REF!</definedName>
    <definedName name="EPNF96">#REF!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tacional">#REF!</definedName>
    <definedName name="EXBE">[19]Liste!#REF!</definedName>
    <definedName name="Exportacion_Por_Importancia">[31]Macro1!$A$1</definedName>
    <definedName name="EXTASS_A">#REF!</definedName>
    <definedName name="EXTASS_G97">#REF!</definedName>
    <definedName name="EXTASS_Q96">#REF!</definedName>
    <definedName name="f">#N/A</definedName>
    <definedName name="F_MDE">#REF!</definedName>
    <definedName name="feb">[10]Programa!#REF!</definedName>
    <definedName name="fecha">[10]Programa!#REF!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EVRIER" localSheetId="1">'execution_au_30-09-19'!#REF!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">#REF!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la1">[2]PREPARACION!#REF!</definedName>
    <definedName name="Fila10">'[2]EVALUACIÓN SOCIOECONÓMICA'!#REF!</definedName>
    <definedName name="Fila11" localSheetId="1">'[2]EVALUACIÓN PRIVADA'!#REF!</definedName>
    <definedName name="Fila11">'[2]EVALUACIÓN PRIVADA'!#REF!</definedName>
    <definedName name="Fila12" localSheetId="1">'[2]EVALUACIÓN PRIVADA'!#REF!</definedName>
    <definedName name="Fila12">'[2]EVALUACIÓN PRIVADA'!#REF!</definedName>
    <definedName name="Fila13" localSheetId="1">'[2]EVALUACIÓN PRIVADA'!#REF!</definedName>
    <definedName name="Fila13">'[2]EVALUACIÓN PRIVADA'!#REF!</definedName>
    <definedName name="Fila15" localSheetId="1">'[2]EVALUACIÓN PRIVADA'!#REF!</definedName>
    <definedName name="Fila15">'[2]EVALUACIÓN PRIVADA'!#REF!</definedName>
    <definedName name="Fila17" localSheetId="1">[2]FINANCIACIÓN!#REF!</definedName>
    <definedName name="Fila17">[2]FINANCIACIÓN!#REF!</definedName>
    <definedName name="Fila18" localSheetId="1">[2]ALTERNATIVAS!#REF!</definedName>
    <definedName name="Fila18">[2]ALTERNATIVAS!#REF!</definedName>
    <definedName name="Fila19" localSheetId="1">[2]ALTERNATIVAS!#REF!</definedName>
    <definedName name="Fila19">[2]ALTERNATIVAS!#REF!</definedName>
    <definedName name="Fila2" localSheetId="1">[2]ALTERNATIVAS!#REF!</definedName>
    <definedName name="Fila2">[2]ALTERNATIVAS!#REF!</definedName>
    <definedName name="Fila20" localSheetId="1">[2]ALTERNATIVAS!#REF!</definedName>
    <definedName name="Fila20">[2]ALTERNATIVAS!#REF!</definedName>
    <definedName name="Fila3" localSheetId="1">[2]ALTERNATIVAS!#REF!</definedName>
    <definedName name="Fila3">[2]ALTERNATIVAS!#REF!</definedName>
    <definedName name="Fila4" localSheetId="1">[2]ALTERNATIVAS!#REF!</definedName>
    <definedName name="Fila4">[2]ALTERNATIVAS!#REF!</definedName>
    <definedName name="Fila5" localSheetId="1">'[2]EVALUACIÓN SOCIOECONÓMICA'!#REF!</definedName>
    <definedName name="Fila5">'[2]EVALUACIÓN SOCIOECONÓMICA'!#REF!</definedName>
    <definedName name="Fila6" localSheetId="1">'[2]EVALUACIÓN SOCIOECONÓMICA'!#REF!</definedName>
    <definedName name="Fila6">'[2]EVALUACIÓN SOCIOECONÓMICA'!#REF!</definedName>
    <definedName name="Fila7" localSheetId="1">'[2]EVALUACIÓN SOCIOECONÓMICA'!#REF!</definedName>
    <definedName name="Fila7">'[2]EVALUACIÓN SOCIOECONÓMICA'!#REF!</definedName>
    <definedName name="Fila8" localSheetId="1">'[2]EVALUACIÓN SOCIOECONÓMICA'!#REF!</definedName>
    <definedName name="Fila8">'[2]EVALUACIÓN SOCIOECONÓMICA'!#REF!</definedName>
    <definedName name="Fila9" localSheetId="1">'[2]EVALUACIÓN SOCIOECONÓMICA'!#REF!</definedName>
    <definedName name="Fila9">'[2]EVALUACIÓN SOCIOECONÓMICA'!#REF!</definedName>
    <definedName name="finan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luct">#REF!</definedName>
    <definedName name="FLUJO">'[32]Base de Datos Proyecciones'!$A$2:$H$2</definedName>
    <definedName name="FMI">#REF!</definedName>
    <definedName name="FNE">'[17]NOUVEAUX-PROGRAMMES 2012-2013_'!$F$1003</definedName>
    <definedName name="Formula1" localSheetId="1">[2]ALTERNATIVAS!#REF!</definedName>
    <definedName name="Formula1">[2]ALTERNATIVAS!#REF!</definedName>
    <definedName name="fre" localSheetId="0" hidden="1">{"Tab1",#N/A,FALSE,"P";"Tab2",#N/A,FALSE,"P"}</definedName>
    <definedName name="fre" hidden="1">{"Tab1",#N/A,FALSE,"P";"Tab2",#N/A,FALSE,"P"}</definedName>
    <definedName name="ftaref">#REF!</definedName>
    <definedName name="ftconf">#REF!</definedName>
    <definedName name="ftima">#REF!</definedName>
    <definedName name="ftimaf">#REF!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">#REF!</definedName>
    <definedName name="G_TOURISME">#REF!</definedName>
    <definedName name="GATO">#REF!</definedName>
    <definedName name="GDPDEFL">[33]NA!#REF!</definedName>
    <definedName name="GDPOR">[33]NA!#REF!</definedName>
    <definedName name="GDPOR_">[33]NA!#REF!</definedName>
    <definedName name="gg" localSheetId="0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'[34]J(Priv.Cap)'!#REF!</definedName>
    <definedName name="ggggggg">#REF!</definedName>
    <definedName name="ght" localSheetId="0" hidden="1">{"Tab1",#N/A,FALSE,"P";"Tab2",#N/A,FALSE,"P"}</definedName>
    <definedName name="ght" hidden="1">{"Tab1",#N/A,FALSE,"P";"Tab2",#N/A,FALSE,"P"}</definedName>
    <definedName name="GOESC96">#REF!</definedName>
    <definedName name="Grace_IDA">[29]NPV_base!$B$22</definedName>
    <definedName name="Grace_NC">[29]NPV_base!#REF!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_JUSTICE">#REF!</definedName>
    <definedName name="Heading39">#REF!</definedName>
    <definedName name="hhh" localSheetId="0" hidden="1">{"Minpmon",#N/A,FALSE,"Monthinput"}</definedName>
    <definedName name="hhh" hidden="1">{"Minpmon",#N/A,FALSE,"Monthinput"}</definedName>
    <definedName name="hhhh">#N/A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>#REF!</definedName>
    <definedName name="High_fiscal">#REF!</definedName>
    <definedName name="High_growth_extended">#REF!</definedName>
    <definedName name="High_growth_summary">#REF!</definedName>
    <definedName name="High_monetary">#REF!</definedName>
    <definedName name="High_real">#REF!</definedName>
    <definedName name="High_summary">#REF!</definedName>
    <definedName name="hio" localSheetId="0" hidden="1">{"Tab1",#N/A,FALSE,"P";"Tab2",#N/A,FALSE,"P"}</definedName>
    <definedName name="hio" hidden="1">{"Tab1",#N/A,FALSE,"P";"Tab2",#N/A,FALSE,"P"}</definedName>
    <definedName name="hora">[10]Programa!#REF!</definedName>
    <definedName name="HOSP96">#REF!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">#REF!</definedName>
    <definedName name="I_MHAVE">#REF!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ma">#REF!</definedName>
    <definedName name="imaor">#REF!</definedName>
    <definedName name="impactoambiental">[2]PREPARACION!#REF!</definedName>
    <definedName name="Imprimir_área_IM">#REF!</definedName>
    <definedName name="IN2_">[4]Assumptions!#REF!</definedName>
    <definedName name="IN3_">[4]Assumptions!#REF!</definedName>
    <definedName name="ind">#REF!</definedName>
    <definedName name="indicador">[2]PREPARACION!#REF!</definedName>
    <definedName name="INDICE">[10]Programa!#REF!</definedName>
    <definedName name="INE">#REF!</definedName>
    <definedName name="INF">[27]SUPUESTOS!A$21</definedName>
    <definedName name="inflation">#REF!</definedName>
    <definedName name="INGOES96">#REF!</definedName>
    <definedName name="institution" localSheetId="0">#REF!</definedName>
    <definedName name="institution">#REF!</definedName>
    <definedName name="interes2">'[2]EVALUACIÓN PRIVADA'!#REF!</definedName>
    <definedName name="interes3">'[2]EVALUACIÓN PRIVADA'!#REF!</definedName>
    <definedName name="Interest_IDA">[29]NPV_base!$B$24</definedName>
    <definedName name="Interest_NC" localSheetId="1">[29]NPV_base!#REF!</definedName>
    <definedName name="Interest_NC">[29]NPV_base!#REF!</definedName>
    <definedName name="InterestRate">#REF!</definedName>
    <definedName name="intext">#REF!</definedName>
    <definedName name="intint">#REF!</definedName>
    <definedName name="ipc">#REF!</definedName>
    <definedName name="ipc98j">[10]Programa!#REF!</definedName>
    <definedName name="ipc98s">#REF!</definedName>
    <definedName name="ISSS96">#REF!</definedName>
    <definedName name="ISTA96">#REF!</definedName>
    <definedName name="J_MAE">#REF!</definedName>
    <definedName name="JANVIER" localSheetId="1">'execution_au_30-09-19'!#REF!</definedName>
    <definedName name="jh">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hidden="1">'[34]J(Priv.Cap)'!#REF!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s">#REF!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ILLET" localSheetId="1">'execution_au_30-09-19'!#REF!</definedName>
    <definedName name="JUIN" localSheetId="1">'execution_au_30-09-19'!#REF!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_PRESIDENCE">#REF!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'[35]J(Priv.Cap)'!#REF!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KMdeRed2">'[2]EVALUACIÓN PRIVADA'!#REF!</definedName>
    <definedName name="KMdeRed3">'[2]EVALUACIÓN PRIVADA'!#REF!</definedName>
    <definedName name="L_BPM">#REF!</definedName>
    <definedName name="lettres_brh" localSheetId="0">#REF!</definedName>
    <definedName name="lettres_brh">#REF!</definedName>
    <definedName name="LIBELLE" localSheetId="1">'execution_au_30-09-19'!$E$4:$E$958</definedName>
    <definedName name="LIBOR3">[27]SUPUESTOS!$A$12:$IV$12</definedName>
    <definedName name="LIBOR6">[27]SUPUESTOS!A$11</definedName>
    <definedName name="liqc">[10]Programa!#REF!</definedName>
    <definedName name="liqd">[10]Programa!#REF!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ocalisation" localSheetId="0">OFFSET([21]Code!$M$2,0,0,COUNTA([21]Code!$M:$M)-1,1)</definedName>
    <definedName name="localisation">OFFSET([22]Code!$M$2,0,0,COUNTA([22]Code!$M:$M)-1,1)</definedName>
    <definedName name="localisationdesc" localSheetId="0">OFFSET([21]Code!$M$2,0,0,COUNT([21]Code!$M:$M)-1,2)</definedName>
    <definedName name="localisationdesc">OFFSET([22]Code!$M$2,0,0,COUNT([22]Code!$M:$M)-1,2)</definedName>
    <definedName name="LONAB96">#REF!</definedName>
    <definedName name="Low_external">#REF!</definedName>
    <definedName name="Low_fiscal">#REF!</definedName>
    <definedName name="Low_growth_extended">#REF!</definedName>
    <definedName name="Low_growth_summary">#REF!</definedName>
    <definedName name="Low_monetary">#REF!</definedName>
    <definedName name="Low_real">#REF!</definedName>
    <definedName name="Low_summary">#REF!</definedName>
    <definedName name="m">#N/A</definedName>
    <definedName name="M_MICT">#REF!</definedName>
    <definedName name="MACRO">#REF!</definedName>
    <definedName name="MACROINPUT">#REF!</definedName>
    <definedName name="MAI" localSheetId="1">'execution_au_30-09-19'!#REF!</definedName>
    <definedName name="manodeobra">'[2]EVALUACIÓN SOCIOECONÓMICA'!#REF!</definedName>
    <definedName name="manodeobra2">'[2]EVALUACIÓN SOCIOECONÓMICA'!#REF!</definedName>
    <definedName name="manodeobra3" localSheetId="1">'[2]EVALUACIÓN SOCIOECONÓMICA'!#REF!</definedName>
    <definedName name="manodeobra3">'[2]EVALUACIÓN SOCIOECONÓMICA'!#REF!</definedName>
    <definedName name="mar">[10]Programa!#REF!</definedName>
    <definedName name="MARS" localSheetId="1">'execution_au_30-09-19'!#REF!</definedName>
    <definedName name="Maturity_IDA">[29]NPV_base!$B$23</definedName>
    <definedName name="Maturity_NC">[29]NPV_base!#REF!</definedName>
    <definedName name="may">[10]Programa!#REF!</definedName>
    <definedName name="MCPI">#REF!</definedName>
    <definedName name="MENSUEL" localSheetId="1">'execution_au_30-09-19'!$J$4:$J$958</definedName>
    <definedName name="merde" localSheetId="0" hidden="1">{"Riqfin97",#N/A,FALSE,"Tran";"Riqfinpro",#N/A,FALSE,"Tran"}</definedName>
    <definedName name="merde" hidden="1">{"Riqfin97",#N/A,FALSE,"Tran";"Riqfinpro",#N/A,FALSE,"Tran"}</definedName>
    <definedName name="MIDDLE">#REF!</definedName>
    <definedName name="ministere" localSheetId="0">OFFSET([21]Code!$E$2,0,0,COUNTA([21]Code!$E:$E)-1,1)</definedName>
    <definedName name="ministere">OFFSET([22]Code!$E$2,0,0,COUNTA([22]Code!$E:$E)-1,1)</definedName>
    <definedName name="ministeredesc" localSheetId="0">OFFSET([21]Code!$E$2,0,0,COUNTA([21]Code!$E:$E)-1,2)</definedName>
    <definedName name="ministeredesc">OFFSET([22]Code!$E$2,0,0,COUNTA([22]Code!$E:$E)-1,2)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ogene">#REF!</definedName>
    <definedName name="moj" localSheetId="0" hidden="1">{"Riqfin97",#N/A,FALSE,"Tran";"Riqfinpro",#N/A,FALSE,"Tran"}</definedName>
    <definedName name="moj" hidden="1">{"Riqfin97",#N/A,FALSE,"Tran";"Riqfinpro",#N/A,FALSE,"Tran"}</definedName>
    <definedName name="Monetary_Program">#REF!</definedName>
    <definedName name="Monetary_Survey">#REF!</definedName>
    <definedName name="Monetary_Survey_Analytical_Tables">#REF!</definedName>
    <definedName name="Monetary_Survey_growth_rates">#REF!</definedName>
    <definedName name="Monthly_CG_projection">#REF!</definedName>
    <definedName name="MonthlyInf">#REF!</definedName>
    <definedName name="montoinversion2">'[2]EVALUACIÓN SOCIOECONÓMICA'!#REF!</definedName>
    <definedName name="montoinversion3">'[2]EVALUACIÓN SOCIOECONÓMICA'!#REF!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MUNI96">#REF!</definedName>
    <definedName name="n" localSheetId="0" hidden="1">{"Minpmon",#N/A,FALSE,"Monthinput"}</definedName>
    <definedName name="n" hidden="1">{"Minpmon",#N/A,FALSE,"Monthinput"}</definedName>
    <definedName name="N_MENJS">#REF!</definedName>
    <definedName name="names">#REF!</definedName>
    <definedName name="NAMES_A">#REF!</definedName>
    <definedName name="NFPS_">[12]OPS!#REF!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>#N/A</definedName>
    <definedName name="nnnnn">#N/A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NOVEMBRE" localSheetId="1">'execution_au_30-09-19'!$L$4:$L$958</definedName>
    <definedName name="O_MAS">#REF!</definedName>
    <definedName name="OCTOBRE" localSheetId="1">'execution_au_30-09-19'!$K$4:$K$958</definedName>
    <definedName name="OnShow">#N/A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ooooooooooooooooooooooooooooooooooooooooooooo">#REF!</definedName>
    <definedName name="OPC">#REF!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AS96">#REF!</definedName>
    <definedName name="otros2">'[2]EVALUACIÓN SOCIOECONÓMICA'!#REF!</definedName>
    <definedName name="otros2000">#REF!</definedName>
    <definedName name="otros2001">#REF!</definedName>
    <definedName name="otros2002">#REF!</definedName>
    <definedName name="otros2003">#REF!</definedName>
    <definedName name="otros3">'[2]EVALUACIÓN SOCIOECONÓMICA'!#REF!</definedName>
    <definedName name="otros98">[10]Programa!#REF!</definedName>
    <definedName name="otros98j">[10]Programa!#REF!</definedName>
    <definedName name="otros98s">#REF!</definedName>
    <definedName name="otros99">#REF!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_MSPP">#REF!</definedName>
    <definedName name="paiement_direct" localSheetId="0">#REF!</definedName>
    <definedName name="paiement_direct">#REF!</definedName>
    <definedName name="parsemestre">#REF!</definedName>
    <definedName name="PARTIDA">[7]SPNF!#REF!</definedName>
    <definedName name="partrimestreIII">#REF!</definedName>
    <definedName name="parTrimIV">#REF!</definedName>
    <definedName name="Path_Data">#REF!</definedName>
    <definedName name="Path_System">#REF!</definedName>
    <definedName name="pcdr" localSheetId="0">'[36]NOUVEAUX-PROGRAMMES 2012-2013_'!$F$1010</definedName>
    <definedName name="pcdr">'[37]NOUVEAUX-PROGRAMMES 2012-2013_'!$F$1010</definedName>
    <definedName name="PEACEAGR">#REF!</definedName>
    <definedName name="PERE96">#REF!</definedName>
    <definedName name="petrocaribe">#REF!</definedName>
    <definedName name="PEX">[27]SUPUESTOS!A$14</definedName>
    <definedName name="pib_int">#REF!</definedName>
    <definedName name="pib98j">[10]Programa!#REF!</definedName>
    <definedName name="pib98s">[10]Programa!#REF!</definedName>
    <definedName name="PIBporSECT">#REF!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lame">#REF!</definedName>
    <definedName name="plame2000">#REF!</definedName>
    <definedName name="plame2001">#REF!</definedName>
    <definedName name="plame2002">#REF!</definedName>
    <definedName name="plame2003">#REF!</definedName>
    <definedName name="plame98">[10]Programa!#REF!</definedName>
    <definedName name="plame98j">[10]Programa!#REF!</definedName>
    <definedName name="plame98s">#REF!</definedName>
    <definedName name="plame99">#REF!</definedName>
    <definedName name="plazo">#REF!</definedName>
    <definedName name="plazo2000">#REF!</definedName>
    <definedName name="plazo2001">#REF!</definedName>
    <definedName name="plazo2002">#REF!</definedName>
    <definedName name="plazo2003">#REF!</definedName>
    <definedName name="plazo98">[10]Programa!#REF!</definedName>
    <definedName name="plazo98j">[10]Programa!#REF!</definedName>
    <definedName name="plazo98s">#REF!</definedName>
    <definedName name="plazo99">#REF!</definedName>
    <definedName name="posnet2">#REF!</definedName>
    <definedName name="Potencia2">'[2]EVALUACIÓN PRIVADA'!#REF!</definedName>
    <definedName name="Potencia3">'[2]EVALUACIÓN PRIVADA'!#REF!</definedName>
    <definedName name="POUVOIR" localSheetId="0">#REF!</definedName>
    <definedName name="POUVOIR">#REF!</definedName>
    <definedName name="POUVOIR1" localSheetId="0">'[24]solde des crédits'!$B$10</definedName>
    <definedName name="POUVOIR1">'[26]solde des crédits'!$B$10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_xlnm.Print_Area" localSheetId="1">'execution_au_30-09-19'!$D$2:$L$964</definedName>
    <definedName name="_xlnm.Print_Area" localSheetId="0">TEREDA_RESUME_!$A$1:$U$44</definedName>
    <definedName name="_xlnm.Print_Titles" localSheetId="1">'execution_au_30-09-19'!$2:$4</definedName>
    <definedName name="PRIV0">[38]ASSUMPTIONS!#REF!</definedName>
    <definedName name="PRIV00">[38]ASSUMPTIONS!#REF!</definedName>
    <definedName name="priv1">#REF!</definedName>
    <definedName name="PRIV11">[38]ASSUMPTIONS!#REF!</definedName>
    <definedName name="priv2">#REF!</definedName>
    <definedName name="PRIV22">[38]ASSUMPTIONS!#REF!</definedName>
    <definedName name="PRIV3">[38]ASSUMPTIONS!#REF!</definedName>
    <definedName name="PRIV33" localSheetId="1">[38]ASSUMPTIONS!#REF!</definedName>
    <definedName name="PRIV33">[38]ASSUMPTIONS!#REF!</definedName>
    <definedName name="privada2" localSheetId="1">'[2]EVALUACIÓN PRIVADA'!#REF!</definedName>
    <definedName name="privada2">'[2]EVALUACIÓN PRIVADA'!#REF!</definedName>
    <definedName name="privada3" localSheetId="1">'[2]EVALUACIÓN PRIVADA'!#REF!</definedName>
    <definedName name="privada3">'[2]EVALUACIÓN PRIVADA'!#REF!</definedName>
    <definedName name="PROG">[39]Assumptions:Debtind!$B$2:$J$72</definedName>
    <definedName name="progra">#REF!</definedName>
    <definedName name="PROJ">'[39]MT-Low:Income'!$B$2:$N$57</definedName>
    <definedName name="Prposition_desafectation" localSheetId="0" hidden="1">{"Riqfin97",#N/A,FALSE,"Tran";"Riqfinpro",#N/A,FALSE,"Tran"}</definedName>
    <definedName name="Prposition_desafectation" hidden="1">{"Riqfin97",#N/A,FALSE,"Tran";"Riqfinpro",#N/A,FALSE,"Tran"}</definedName>
    <definedName name="PUBL00">[38]ASSUMPTIONS!#REF!</definedName>
    <definedName name="PUBL11" localSheetId="1">[38]ASSUMPTIONS!#REF!</definedName>
    <definedName name="PUBL11">[38]ASSUMPTIONS!#REF!</definedName>
    <definedName name="PUBL2" localSheetId="1">[38]ASSUMPTIONS!#REF!</definedName>
    <definedName name="PUBL2">[38]ASSUMPTIONS!#REF!</definedName>
    <definedName name="PUBL22" localSheetId="1">[38]ASSUMPTIONS!#REF!</definedName>
    <definedName name="PUBL22">[38]ASSUMPTIONS!#REF!</definedName>
    <definedName name="PUBL33" localSheetId="1">[38]ASSUMPTIONS!#REF!</definedName>
    <definedName name="PUBL33">[38]ASSUMPTIONS!#REF!</definedName>
    <definedName name="PUBL5" localSheetId="1">[38]ASSUMPTIONS!#REF!</definedName>
    <definedName name="PUBL5">[38]ASSUMPTIONS!#REF!</definedName>
    <definedName name="PUBL55" localSheetId="1">[38]ASSUMPTIONS!#REF!</definedName>
    <definedName name="PUBL55">[38]ASSUMPTIONS!#REF!</definedName>
    <definedName name="PUBL6" localSheetId="1">[38]ASSUMPTIONS!#REF!</definedName>
    <definedName name="PUBL6">[38]ASSUMPTIONS!#REF!</definedName>
    <definedName name="PUBL66" localSheetId="1">[38]ASSUMPTIONS!#REF!</definedName>
    <definedName name="PUBL66">[38]ASSUMPTIONS!#REF!</definedName>
    <definedName name="Q_MCFDF">#REF!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'[35]J(Priv.Cap)'!#REF!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R_CULTES">#REF!</definedName>
    <definedName name="RANGLIST">'[12]CGvt Rev'!#REF!</definedName>
    <definedName name="REA">[19]Liste!#REF!</definedName>
    <definedName name="Realprint">#REF!</definedName>
    <definedName name="_xlnm.Recorder" localSheetId="1">#REF!</definedName>
    <definedName name="_xlnm.Recorder" localSheetId="0">#REF!</definedName>
    <definedName name="_xlnm.Recorder">#REF!</definedName>
    <definedName name="reference">OFFSET(#REF!,0,0,COUNTA(#REF!),3)</definedName>
    <definedName name="renegocia">[10]Programa!#REF!</definedName>
    <definedName name="RESTNFPS">#REF!</definedName>
    <definedName name="RESTNFPS_">#REF!</definedName>
    <definedName name="RESUM_0612">#REF!</definedName>
    <definedName name="REVENUE_">'[12]CGvt Rev'!#REF!</definedName>
    <definedName name="rf">[10]Programa!#REF!</definedName>
    <definedName name="RFSP">#REF!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Ccode">[40]EERProfile!$B$2</definedName>
    <definedName name="RgCName">[40]EERProfile!$A$2</definedName>
    <definedName name="RgFdBaseYr">[40]EERProfile!$O$2</definedName>
    <definedName name="RgFdBper">[40]EERProfile!$M$2</definedName>
    <definedName name="RgFdDefBaseYr">[40]EERProfile!$P$2</definedName>
    <definedName name="RgFdEper">[40]EERProfile!$N$2</definedName>
    <definedName name="RgFdGrFoot">[40]EERProfile!$AC$2</definedName>
    <definedName name="RgFdGrSeries">[40]EERProfile!$AA$2:$AA$7</definedName>
    <definedName name="RgFdGrSeriesVal">[40]EERProfile!$AB$2:$AB$7</definedName>
    <definedName name="RgFdGrType">[40]EERProfile!$Z$2</definedName>
    <definedName name="RgFdPartCseries">[40]EERProfile!$K$2</definedName>
    <definedName name="RgFdPartCsource">#REF!</definedName>
    <definedName name="RgFdPartEseries">#REF!</definedName>
    <definedName name="RgFdPartEsource">#REF!</definedName>
    <definedName name="RgFdPartUserFile">[40]EERProfile!$L$2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[40]EERProfile!$G$2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nfinpriv">#REF!</definedName>
    <definedName name="RIQFIN">#REF!</definedName>
    <definedName name="RPCDivisa2">'[2]EVALUACIÓN SOCIOECONÓMICA'!#REF!</definedName>
    <definedName name="RPCDivisa3">'[2]EVALUACIÓN SOCIOECONÓMICA'!#REF!</definedName>
    <definedName name="rpcmanodeobra" localSheetId="1">'[2]EVALUACIÓN SOCIOECONÓMICA'!#REF!</definedName>
    <definedName name="rpcmanodeobra">'[2]EVALUACIÓN SOCIOECONÓMICA'!#REF!</definedName>
    <definedName name="RPCManodeobra2" localSheetId="1">'[2]EVALUACIÓN SOCIOECONÓMICA'!#REF!</definedName>
    <definedName name="RPCManodeobra2">'[2]EVALUACIÓN SOCIOECONÓMICA'!#REF!</definedName>
    <definedName name="RPCManodeobra3" localSheetId="1">'[2]EVALUACIÓN SOCIOECONÓMICA'!#REF!</definedName>
    <definedName name="RPCManodeobra3">'[2]EVALUACIÓN SOCIOECONÓMICA'!#REF!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hidden="1">{"Tab1",#N/A,FALSE,"P";"Tab2",#N/A,FALSE,"P"}</definedName>
    <definedName name="S_CULTURE">#REF!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 localSheetId="0">'[24]solde des crédits'!$B$12</definedName>
    <definedName name="SECTEUR1">'[26]solde des crédits'!$B$12</definedName>
    <definedName name="secteurdesc" localSheetId="0">OFFSET([21]Code!$C$2,0,0,COUNTA([21]Code!$C:$C)-1,2)</definedName>
    <definedName name="secteurdesc">OFFSET([22]Code!$C$2,0,0,COUNTA([22]Code!$C:$C)-1,2)</definedName>
    <definedName name="section" localSheetId="0">OFFSET([21]Code!$I$2,0,0,COUNTA([21]Code!$I:$I)-1,1)</definedName>
    <definedName name="section">OFFSET([22]Code!$I$2,0,0,COUNTA([22]Code!$I:$I)-1,1)</definedName>
    <definedName name="sectiondesc" localSheetId="0">OFFSET([21]Code!$I$2,0,0,COUNTA([21]Code!$I:$I)-1,2)</definedName>
    <definedName name="sectiondesc">OFFSET([22]Code!$I$2,0,0,COUNTA([22]Code!$I:$I)-1,2)</definedName>
    <definedName name="SECTITRE" localSheetId="1">'execution_au_30-09-19'!$B$2:$B$958</definedName>
    <definedName name="SECTORES">[7]SPNF!#REF!</definedName>
    <definedName name="sel24a">'[2]EVALUACIÓN SOCIOECONÓMICA'!#REF!</definedName>
    <definedName name="sel34a">'[2]EVALUACIÓN SOCIOECONÓMICA'!#REF!</definedName>
    <definedName name="Selec2" localSheetId="1">'[2]EVALUACIÓN PRIVADA'!#REF!</definedName>
    <definedName name="Selec2">'[2]EVALUACIÓN PRIVADA'!#REF!</definedName>
    <definedName name="Selec3" localSheetId="1">'[2]EVALUACIÓN PRIVADA'!#REF!</definedName>
    <definedName name="Selec3">'[2]EVALUACIÓN PRIVADA'!#REF!</definedName>
    <definedName name="selección2" localSheetId="1">[2]ALTERNATIVAS!#REF!</definedName>
    <definedName name="selección2">[2]ALTERNATIVAS!#REF!</definedName>
    <definedName name="selección3" localSheetId="1">[2]ALTERNATIVAS!#REF!</definedName>
    <definedName name="selección3">[2]ALTERNATIVAS!#REF!</definedName>
    <definedName name="Selected_Economic_and_Financial_Indicators">#REF!</definedName>
    <definedName name="selImpuestos">'[2]EVALUACIÓN PRIVADA'!#REF!</definedName>
    <definedName name="selImpuestos2">'[2]EVALUACIÓN PRIVADA'!#REF!</definedName>
    <definedName name="selImpuestos3" localSheetId="1">'[2]EVALUACIÓN PRIVADA'!#REF!</definedName>
    <definedName name="selImpuestos3">'[2]EVALUACIÓN PRIVADA'!#REF!</definedName>
    <definedName name="selx" localSheetId="1">[2]PREPARACION!#REF!</definedName>
    <definedName name="selx">[2]PREPARACION!#REF!</definedName>
    <definedName name="SEMESTRE2" localSheetId="1">'execution_au_30-09-19'!#REF!</definedName>
    <definedName name="SEMETRE1" localSheetId="1">'execution_au_30-09-19'!#REF!</definedName>
    <definedName name="sens41" localSheetId="1">'[2]ANÁLISIS DE SENSIBILIDAD'!#REF!</definedName>
    <definedName name="sens41">'[2]ANÁLISIS DE SENSIBILIDAD'!#REF!</definedName>
    <definedName name="SEPTEMBRE" localSheetId="1">'execution_au_30-09-19'!#REF!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vice" localSheetId="0">OFFSET([21]Code!$K$2,0,0,COUNTA([21]Code!$K:$K)-1,1)</definedName>
    <definedName name="service">OFFSET([22]Code!$K$2,0,0,COUNTA([22]Code!$K:$K)-1,1)</definedName>
    <definedName name="servicedesc" localSheetId="0">OFFSET([21]Code!$K$2,0,0,COUNTA([21]Code!$K:$K)-1,2)</definedName>
    <definedName name="servicedesc">OFFSET([22]Code!$K$2,0,0,COUNTA([22]Code!$K:$K)-1,2)</definedName>
    <definedName name="sexe">OFFSET([21]Code!#REF!,0,0,COUNTA([21]Code!#REF!)-1,1)</definedName>
    <definedName name="SHEET_A._Contents_and_file_description">#REF!</definedName>
    <definedName name="SHEET_B._DATA_FROM_TO_OTHER_FILES">#REF!</definedName>
    <definedName name="SHEET_C._RAW_DATA1">#REF!</definedName>
    <definedName name="SHEET_C._RAW_DATA2">#REF!</definedName>
    <definedName name="SHEET_D._DATA_TRANSFORMATIONS">#REF!</definedName>
    <definedName name="SHEET_E._FINAL_TABLES">#REF!</definedName>
    <definedName name="SIDXGOB">'[27]SFISCAL-MOD'!$A$146:$IV$146</definedName>
    <definedName name="sisfin2">#REF!</definedName>
    <definedName name="SISTEMA_BANCARIO_NACIONAL">#REF!</definedName>
    <definedName name="Socioeconómica1">'[2]EVALUACIÓN SOCIOECONÓMICA'!#REF!</definedName>
    <definedName name="socioeconómica2">'[2]EVALUACIÓN SOCIOECONÓMICA'!#REF!</definedName>
    <definedName name="Socioeconomica3" localSheetId="1">'[2]EVALUACIÓN SOCIOECONÓMICA'!#REF!</definedName>
    <definedName name="Socioeconomica3">'[2]EVALUACIÓN SOCIOECONÓMICA'!#REF!</definedName>
    <definedName name="socioeconómica3" localSheetId="1">'[2]EVALUACIÓN SOCIOECONÓMICA'!#REF!</definedName>
    <definedName name="socioeconómica3">'[2]EVALUACIÓN SOCIOECONÓMICA'!#REF!</definedName>
    <definedName name="SS">[41]IMATA!$B$45:$B$108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sssss">#N/A</definedName>
    <definedName name="Staff_Report_table">#REF!</definedName>
    <definedName name="STOP">#REF!</definedName>
    <definedName name="SUMGDP">[33]NA!#REF!</definedName>
    <definedName name="Summary_Accounts_SR_table">#REF!</definedName>
    <definedName name="SUMTAB">[42]CPI:NA!$A$272:$R$990</definedName>
    <definedName name="supuestos">#REF!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_INTERVENTIONS">#REF!</definedName>
    <definedName name="Table">#REF!</definedName>
    <definedName name="Table_16.__Guatemala__National_Accounts_at_Current_Prices">#REF!</definedName>
    <definedName name="Table_2._Country_X___Public_Sector_Financing_1">#REF!</definedName>
    <definedName name="Table_20.cont__Guatemala___Selected_Agricultural_Sector_Statistics__concluded">#REF!</definedName>
    <definedName name="Table_28._Guatemala___Selected_Wage_Indicators_1">#REF!</definedName>
    <definedName name="Table_28a._Guatemala___Selected_Wage_Indicators_1">#REF!</definedName>
    <definedName name="Table_30a._Guatemala___Selected_Employment_and_Labor_Productivity_Indicators">#REF!</definedName>
    <definedName name="Table_31._Guatemala___Selected_Wage_and_Employment_Indicators_1">#REF!</definedName>
    <definedName name="Table_32.__Guatemala__Trends_in_Unit_Labor_Costs__ULC___Real_Wages__Productivity_and_Employment">#REF!</definedName>
    <definedName name="Table_33.__Guatemala__Indicators_of_Competitiveness">#REF!</definedName>
    <definedName name="Table_4._Guatemala___Consumer_Price_Indices__1">#REF!</definedName>
    <definedName name="Table_A.__Guatemala__Trends_in_Private_Sector_Unit_Labor_Costs__ULC___Real_Wages__Productivity_and_Employment">#REF!</definedName>
    <definedName name="Table_baseline">'[29]Table 6'!$A$3:$AR$61</definedName>
    <definedName name="Table_stress">[29]SR_Table_Stress!$A$1:$V$75</definedName>
    <definedName name="Table1">#REF!</definedName>
    <definedName name="Table2">#REF!</definedName>
    <definedName name="Table5">[43]Stfrprtables!#REF!</definedName>
    <definedName name="Table8">#REF!</definedName>
    <definedName name="Tarifa">'[2]EVALUACIÓN PRIVADA'!#REF!</definedName>
    <definedName name="Tarifa2">'[2]EVALUACIÓN PRIVADA'!#REF!</definedName>
    <definedName name="Tarifa3" localSheetId="1">'[2]EVALUACIÓN PRIVADA'!#REF!</definedName>
    <definedName name="Tarifa3">'[2]EVALUACIÓN PRIVADA'!#REF!</definedName>
    <definedName name="TarifaS2" localSheetId="1">'[2]EVALUACIÓN SOCIOECONÓMICA'!#REF!</definedName>
    <definedName name="TarifaS2">'[2]EVALUACIÓN SOCIOECONÓMICA'!#REF!</definedName>
    <definedName name="TarifaS3" localSheetId="1">'[2]EVALUACIÓN SOCIOECONÓMICA'!#REF!</definedName>
    <definedName name="TarifaS3">'[2]EVALUACIÓN SOCIOECONÓMICA'!#REF!</definedName>
    <definedName name="TAUX">#REF!</definedName>
    <definedName name="TAUX1">#REF!</definedName>
    <definedName name="TauxdeChange" localSheetId="0">#REF!</definedName>
    <definedName name="TauxdeChange">#REF!</definedName>
    <definedName name="TCN">[27]SREAL!A$158</definedName>
    <definedName name="TECHNICIENDEPB">[19]Liste!#REF!</definedName>
    <definedName name="TITRE" localSheetId="1">'execution_au_30-09-19'!$A$2:$A$958</definedName>
    <definedName name="títulos">#REF!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MG_D">[20]Q5!$E$23:$AH$23</definedName>
    <definedName name="TMGO">#N/A</definedName>
    <definedName name="TOTAL" localSheetId="1">'execution_au_30-09-19'!#REF!</definedName>
    <definedName name="Total1a">'[2]EVALUACIÓN SOCIOECONÓMICA'!#REF!</definedName>
    <definedName name="Total1ap" localSheetId="1">'[2]EVALUACIÓN PRIVADA'!#REF!</definedName>
    <definedName name="Total1ap">'[2]EVALUACIÓN PRIVADA'!#REF!</definedName>
    <definedName name="Total2" localSheetId="1">'[2]EVALUACIÓN SOCIOECONÓMICA'!#REF!</definedName>
    <definedName name="Total2">'[2]EVALUACIÓN SOCIOECONÓMICA'!#REF!</definedName>
    <definedName name="Total2a" localSheetId="1">'[2]EVALUACIÓN SOCIOECONÓMICA'!#REF!</definedName>
    <definedName name="Total2a">'[2]EVALUACIÓN SOCIOECONÓMICA'!#REF!</definedName>
    <definedName name="Total3" localSheetId="1">'[2]EVALUACIÓN SOCIOECONÓMICA'!#REF!</definedName>
    <definedName name="Total3">'[2]EVALUACIÓN SOCIOECONÓMICA'!#REF!</definedName>
    <definedName name="Total3a" localSheetId="1">'[2]EVALUACIÓN SOCIOECONÓMICA'!#REF!</definedName>
    <definedName name="Total3a">'[2]EVALUACIÓN SOCIOECONÓMICA'!#REF!</definedName>
    <definedName name="trans">#REF!</definedName>
    <definedName name="TRAS">#N/A</definedName>
    <definedName name="TRIM1" localSheetId="1">'execution_au_30-09-19'!#REF!</definedName>
    <definedName name="TRIM2" localSheetId="1">'execution_au_30-09-19'!#REF!</definedName>
    <definedName name="TRIM3" localSheetId="1">'execution_au_30-09-19'!#REF!</definedName>
    <definedName name="TRIM4" localSheetId="1">'execution_au_30-09-19'!#REF!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hidden="1">[44]M!#REF!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TYPETRAIT">[19]Liste!#REF!</definedName>
    <definedName name="U_DETTE">#REF!</definedName>
    <definedName name="UEH">#REF!</definedName>
    <definedName name="usuarios2">'[2]EVALUACIÓN PRIVADA'!#REF!</definedName>
    <definedName name="usuarios3">'[2]EVALUACIÓN PRIVADA'!#REF!</definedName>
    <definedName name="usuariosS2" localSheetId="1">'[2]EVALUACIÓN SOCIOECONÓMICA'!#REF!</definedName>
    <definedName name="usuariosS2">'[2]EVALUACIÓN SOCIOECONÓMICA'!#REF!</definedName>
    <definedName name="usuariosS3" localSheetId="1">'[2]EVALUACIÓN SOCIOECONÓMICA'!#REF!</definedName>
    <definedName name="usuariosS3">'[2]EVALUACIÓN SOCIOECONÓMICA'!#REF!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_SENAT">#REF!</definedName>
    <definedName name="vadp2">'[2]EVALUACIÓN PRIVADA'!#REF!</definedName>
    <definedName name="vadp3">'[2]EVALUACIÓN PRIVADA'!#REF!</definedName>
    <definedName name="vads2" localSheetId="1">'[2]EVALUACIÓN SOCIOECONÓMICA'!#REF!</definedName>
    <definedName name="vads2">'[2]EVALUACIÓN SOCIOECONÓMICA'!#REF!</definedName>
    <definedName name="vads3" localSheetId="1">'[2]EVALUACIÓN SOCIOECONÓMICA'!#REF!</definedName>
    <definedName name="vads3">'[2]EVALUACIÓN SOCIOECONÓMICA'!#REF!</definedName>
    <definedName name="vanp" localSheetId="1">'[2]ANÁLISIS DE SENSIBILIDAD'!#REF!</definedName>
    <definedName name="vanp">'[2]ANÁLISIS DE SENSIBILIDAD'!#REF!</definedName>
    <definedName name="vanp2" localSheetId="1">'[2]EVALUACIÓN PRIVADA'!#REF!</definedName>
    <definedName name="vanp2">'[2]EVALUACIÓN PRIVADA'!#REF!</definedName>
    <definedName name="vanp3" localSheetId="1">'[2]EVALUACIÓN PRIVADA'!#REF!</definedName>
    <definedName name="vanp3">'[2]EVALUACIÓN PRIVADA'!#REF!</definedName>
    <definedName name="vans2" localSheetId="1">'[2]EVALUACIÓN SOCIOECONÓMICA'!#REF!</definedName>
    <definedName name="vans2">'[2]EVALUACIÓN SOCIOECONÓMICA'!#REF!</definedName>
    <definedName name="vans3" localSheetId="1">'[2]EVALUACIÓN SOCIOECONÓMICA'!#REF!</definedName>
    <definedName name="vans3">'[2]EVALUACIÓN SOCIOECONÓMICA'!#REF!</definedName>
    <definedName name="venci">#REF!</definedName>
    <definedName name="venci2000">#REF!</definedName>
    <definedName name="venci2001">#REF!</definedName>
    <definedName name="venci2002">#REF!</definedName>
    <definedName name="venci2003">#REF!</definedName>
    <definedName name="venci98">[10]Programa!#REF!</definedName>
    <definedName name="venci98j">[10]Programa!#REF!</definedName>
    <definedName name="venci98s">#REF!</definedName>
    <definedName name="venci99">#REF!</definedName>
    <definedName name="Vida2">'[2]EVALUACIÓN SOCIOECONÓMICA'!#REF!</definedName>
    <definedName name="Vida3">'[2]EVALUACIÓN SOCIOECONÓMICA'!#REF!</definedName>
    <definedName name="VOLET1">#REF!</definedName>
    <definedName name="VOLET10">#REF!</definedName>
    <definedName name="VOLET11">#REF!</definedName>
    <definedName name="VOLET2">#REF!</definedName>
    <definedName name="VOLET3">#REF!</definedName>
    <definedName name="VOLET4">#REF!</definedName>
    <definedName name="VOLET5">#REF!</definedName>
    <definedName name="VOLET6">#REF!</definedName>
    <definedName name="VOLET7">#REF!</definedName>
    <definedName name="VOLET8">#REF!</definedName>
    <definedName name="VOLET9">#REF!</definedName>
    <definedName name="vpcp2" localSheetId="1">'[2]EVALUACIÓN PRIVADA'!#REF!</definedName>
    <definedName name="vpcp2">'[2]EVALUACIÓN PRIVADA'!#REF!</definedName>
    <definedName name="vpcp3" localSheetId="1">'[2]EVALUACIÓN PRIVADA'!#REF!</definedName>
    <definedName name="vpcp3">'[2]EVALUACIÓN PRIVADA'!#REF!</definedName>
    <definedName name="vpcs2" localSheetId="1">'[2]EVALUACIÓN SOCIOECONÓMICA'!#REF!</definedName>
    <definedName name="vpcs2">'[2]EVALUACIÓN SOCIOECONÓMICA'!#REF!</definedName>
    <definedName name="vpcs3" localSheetId="1">'[2]EVALUACIÓN SOCIOECONÓMICA'!#REF!</definedName>
    <definedName name="vpcs3">'[2]EVALUACIÓN SOCIOECONÓMICA'!#REF!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vvvvvvvvvvvvvvvvvvvvvv" localSheetId="0" hidden="1">{"Riqfin97",#N/A,FALSE,"Tran";"Riqfinpro",#N/A,FALSE,"Tran"}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hidden="1">{"Minpmon",#N/A,FALSE,"Monthinput"}</definedName>
    <definedName name="W_CHAMBRE_DEPUTES">#REF!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[44]M!#REF!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[44]M!#REF!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_CASSATION">#REF!</definedName>
    <definedName name="xa">'[28]PIB EN CORR'!#REF!</definedName>
    <definedName name="xaa">'[28]PIB EN CORR'!$AV$5:$AV$77</definedName>
    <definedName name="xbb">'[28]PIB EN CORR'!#REF!</definedName>
    <definedName name="XBS">[27]SREAL!A$41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'[45]Shared Data'!$A$1:$A$77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">#REF!</definedName>
    <definedName name="Y_CPUR_APPEL">#REF!</definedName>
    <definedName name="Year">#REF!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TRIBUNAUX">#REF!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4" i="1" s="1"/>
  <c r="C15" i="1" s="1"/>
  <c r="C16" i="1"/>
  <c r="C18" i="1"/>
  <c r="C19" i="1"/>
  <c r="C20" i="1" s="1"/>
  <c r="C21" i="1" s="1"/>
  <c r="C22" i="1" s="1"/>
  <c r="C23" i="1" s="1"/>
  <c r="C24" i="1" s="1"/>
  <c r="C26" i="1"/>
  <c r="C27" i="1" s="1"/>
  <c r="C28" i="1" s="1"/>
  <c r="C29" i="1" s="1"/>
  <c r="C30" i="1" s="1"/>
  <c r="C31" i="1" s="1"/>
  <c r="C32" i="1" s="1"/>
  <c r="C34" i="1"/>
  <c r="C35" i="1"/>
  <c r="C36" i="1" s="1"/>
  <c r="C37" i="1" s="1"/>
  <c r="C38" i="1" s="1"/>
  <c r="C39" i="1" s="1"/>
  <c r="C40" i="1" s="1"/>
  <c r="C42" i="1"/>
  <c r="C43" i="1"/>
  <c r="C44" i="1"/>
  <c r="C48" i="1"/>
  <c r="C49" i="1"/>
  <c r="C50" i="1" s="1"/>
  <c r="C51" i="1" s="1"/>
  <c r="C52" i="1" s="1"/>
  <c r="C53" i="1" s="1"/>
  <c r="C54" i="1" s="1"/>
  <c r="C56" i="1"/>
  <c r="C57" i="1" s="1"/>
  <c r="C58" i="1" s="1"/>
  <c r="C59" i="1" s="1"/>
  <c r="C60" i="1" s="1"/>
  <c r="C61" i="1" s="1"/>
  <c r="C62" i="1" s="1"/>
  <c r="C64" i="1"/>
  <c r="C66" i="1" s="1"/>
  <c r="C65" i="1"/>
  <c r="C68" i="1"/>
  <c r="C70" i="1" s="1"/>
  <c r="C69" i="1"/>
  <c r="C72" i="1"/>
  <c r="C73" i="1"/>
  <c r="C74" i="1"/>
  <c r="C75" i="1"/>
  <c r="C76" i="1" s="1"/>
  <c r="C77" i="1" s="1"/>
  <c r="C78" i="1" s="1"/>
  <c r="C80" i="1"/>
  <c r="C82" i="1"/>
  <c r="C85" i="1"/>
  <c r="C86" i="1"/>
  <c r="C87" i="1"/>
  <c r="C88" i="1" s="1"/>
  <c r="C89" i="1" s="1"/>
  <c r="C90" i="1" s="1"/>
  <c r="C91" i="1" s="1"/>
  <c r="C93" i="1"/>
  <c r="C94" i="1"/>
  <c r="C95" i="1"/>
  <c r="C96" i="1"/>
  <c r="C97" i="1" s="1"/>
  <c r="C98" i="1" s="1"/>
  <c r="C99" i="1" s="1"/>
  <c r="C101" i="1"/>
  <c r="C102" i="1" s="1"/>
  <c r="C103" i="1" s="1"/>
  <c r="C104" i="1" s="1"/>
  <c r="C105" i="1" s="1"/>
  <c r="C106" i="1" s="1"/>
  <c r="C107" i="1" s="1"/>
  <c r="C109" i="1"/>
  <c r="C110" i="1" s="1"/>
  <c r="C111" i="1" s="1"/>
  <c r="C112" i="1" s="1"/>
  <c r="C113" i="1" s="1"/>
  <c r="C114" i="1"/>
  <c r="C115" i="1" s="1"/>
  <c r="C117" i="1"/>
  <c r="C118" i="1" s="1"/>
  <c r="C119" i="1" s="1"/>
  <c r="C120" i="1" s="1"/>
  <c r="C121" i="1" s="1"/>
  <c r="C122" i="1" s="1"/>
  <c r="C123" i="1"/>
  <c r="C127" i="1"/>
  <c r="C128" i="1"/>
  <c r="C129" i="1" s="1"/>
  <c r="C130" i="1" s="1"/>
  <c r="C131" i="1" s="1"/>
  <c r="C132" i="1" s="1"/>
  <c r="C133" i="1" s="1"/>
  <c r="C135" i="1"/>
  <c r="C136" i="1" s="1"/>
  <c r="C137" i="1" s="1"/>
  <c r="C138" i="1" s="1"/>
  <c r="C139" i="1" s="1"/>
  <c r="C140" i="1" s="1"/>
  <c r="C141" i="1" s="1"/>
  <c r="C143" i="1"/>
  <c r="C144" i="1"/>
  <c r="C145" i="1" s="1"/>
  <c r="C146" i="1" s="1"/>
  <c r="C147" i="1" s="1"/>
  <c r="C148" i="1" s="1"/>
  <c r="C149" i="1" s="1"/>
  <c r="C151" i="1"/>
  <c r="C152" i="1"/>
  <c r="C153" i="1"/>
  <c r="C154" i="1" s="1"/>
  <c r="C155" i="1" s="1"/>
  <c r="C156" i="1" s="1"/>
  <c r="C157" i="1" s="1"/>
  <c r="C159" i="1"/>
  <c r="C160" i="1"/>
  <c r="C161" i="1"/>
  <c r="C163" i="1"/>
  <c r="C165" i="1" s="1"/>
  <c r="C164" i="1"/>
  <c r="C169" i="1"/>
  <c r="C170" i="1" s="1"/>
  <c r="C171" i="1" s="1"/>
  <c r="C172" i="1" s="1"/>
  <c r="C173" i="1" s="1"/>
  <c r="C174" i="1" s="1"/>
  <c r="C175" i="1" s="1"/>
  <c r="C177" i="1"/>
  <c r="C178" i="1" s="1"/>
  <c r="C179" i="1" s="1"/>
  <c r="C180" i="1" s="1"/>
  <c r="C181" i="1" s="1"/>
  <c r="C182" i="1" s="1"/>
  <c r="C183" i="1" s="1"/>
  <c r="C185" i="1"/>
  <c r="C186" i="1"/>
  <c r="C187" i="1" s="1"/>
  <c r="C188" i="1" s="1"/>
  <c r="C189" i="1" s="1"/>
  <c r="C190" i="1" s="1"/>
  <c r="C191" i="1" s="1"/>
  <c r="C193" i="1"/>
  <c r="C194" i="1" s="1"/>
  <c r="C195" i="1" s="1"/>
  <c r="C196" i="1" s="1"/>
  <c r="C197" i="1" s="1"/>
  <c r="C198" i="1" s="1"/>
  <c r="C199" i="1" s="1"/>
  <c r="C201" i="1"/>
  <c r="C202" i="1"/>
  <c r="C203" i="1" s="1"/>
  <c r="C204" i="1" s="1"/>
  <c r="C205" i="1" s="1"/>
  <c r="C206" i="1" s="1"/>
  <c r="C207" i="1" s="1"/>
  <c r="C209" i="1"/>
  <c r="C210" i="1"/>
  <c r="C211" i="1"/>
  <c r="C212" i="1" s="1"/>
  <c r="C213" i="1" s="1"/>
  <c r="C214" i="1" s="1"/>
  <c r="C215" i="1" s="1"/>
  <c r="C217" i="1"/>
  <c r="C218" i="1"/>
  <c r="C219" i="1"/>
  <c r="C220" i="1"/>
  <c r="C221" i="1" s="1"/>
  <c r="C222" i="1" s="1"/>
  <c r="C223" i="1" s="1"/>
  <c r="C225" i="1"/>
  <c r="C226" i="1"/>
  <c r="C227" i="1"/>
  <c r="C229" i="1"/>
  <c r="C231" i="1" s="1"/>
  <c r="C230" i="1"/>
  <c r="C233" i="1"/>
  <c r="C235" i="1" s="1"/>
  <c r="C234" i="1"/>
  <c r="C237" i="1"/>
  <c r="C238" i="1"/>
  <c r="C239" i="1"/>
  <c r="C243" i="1"/>
  <c r="C244" i="1" s="1"/>
  <c r="C245" i="1" s="1"/>
  <c r="C246" i="1" s="1"/>
  <c r="C247" i="1" s="1"/>
  <c r="C248" i="1" s="1"/>
  <c r="C249" i="1" s="1"/>
  <c r="C251" i="1"/>
  <c r="C252" i="1"/>
  <c r="C253" i="1" s="1"/>
  <c r="C254" i="1" s="1"/>
  <c r="C255" i="1" s="1"/>
  <c r="C256" i="1" s="1"/>
  <c r="C257" i="1" s="1"/>
  <c r="C259" i="1"/>
  <c r="C260" i="1"/>
  <c r="C261" i="1"/>
  <c r="C263" i="1"/>
  <c r="C264" i="1"/>
  <c r="C265" i="1"/>
  <c r="C267" i="1"/>
  <c r="C268" i="1"/>
  <c r="C269" i="1"/>
  <c r="C273" i="1"/>
  <c r="C274" i="1"/>
  <c r="C275" i="1" s="1"/>
  <c r="C276" i="1" s="1"/>
  <c r="C277" i="1" s="1"/>
  <c r="C278" i="1" s="1"/>
  <c r="C279" i="1" s="1"/>
  <c r="C281" i="1"/>
  <c r="C282" i="1"/>
  <c r="C283" i="1"/>
  <c r="C284" i="1" s="1"/>
  <c r="C285" i="1" s="1"/>
  <c r="C286" i="1" s="1"/>
  <c r="C287" i="1" s="1"/>
  <c r="C289" i="1"/>
  <c r="C290" i="1"/>
  <c r="C291" i="1"/>
  <c r="C292" i="1"/>
  <c r="C293" i="1" s="1"/>
  <c r="C294" i="1" s="1"/>
  <c r="C295" i="1" s="1"/>
  <c r="C297" i="1"/>
  <c r="C298" i="1" s="1"/>
  <c r="C299" i="1" s="1"/>
  <c r="C300" i="1" s="1"/>
  <c r="C301" i="1"/>
  <c r="C302" i="1" s="1"/>
  <c r="C303" i="1" s="1"/>
  <c r="C307" i="1"/>
  <c r="C308" i="1" s="1"/>
  <c r="C309" i="1" s="1"/>
  <c r="C310" i="1" s="1"/>
  <c r="C311" i="1" s="1"/>
  <c r="C312" i="1"/>
  <c r="C313" i="1" s="1"/>
  <c r="C315" i="1"/>
  <c r="C316" i="1" s="1"/>
  <c r="C317" i="1" s="1"/>
  <c r="C318" i="1" s="1"/>
  <c r="C319" i="1" s="1"/>
  <c r="C320" i="1" s="1"/>
  <c r="C321" i="1" s="1"/>
  <c r="C323" i="1"/>
  <c r="C324" i="1"/>
  <c r="C325" i="1"/>
  <c r="C330" i="1"/>
  <c r="C331" i="1" s="1"/>
  <c r="C332" i="1" s="1"/>
  <c r="C333" i="1" s="1"/>
  <c r="C334" i="1" s="1"/>
  <c r="C335" i="1" s="1"/>
  <c r="C336" i="1" s="1"/>
  <c r="C338" i="1"/>
  <c r="C339" i="1" s="1"/>
  <c r="C340" i="1" s="1"/>
  <c r="C341" i="1" s="1"/>
  <c r="C342" i="1" s="1"/>
  <c r="C343" i="1" s="1"/>
  <c r="C344" i="1" s="1"/>
  <c r="C346" i="1"/>
  <c r="C348" i="1" s="1"/>
  <c r="C347" i="1"/>
  <c r="C350" i="1"/>
  <c r="C351" i="1"/>
  <c r="C353" i="1"/>
  <c r="C355" i="1" s="1"/>
  <c r="C354" i="1"/>
  <c r="C357" i="1"/>
  <c r="C359" i="1"/>
  <c r="C360" i="1" s="1"/>
  <c r="C361" i="1" s="1"/>
  <c r="C362" i="1" s="1"/>
  <c r="C363" i="1" s="1"/>
  <c r="C364" i="1" s="1"/>
  <c r="C365" i="1" s="1"/>
  <c r="C368" i="1"/>
  <c r="C369" i="1" s="1"/>
  <c r="C370" i="1" s="1"/>
  <c r="C371" i="1" s="1"/>
  <c r="C372" i="1" s="1"/>
  <c r="C373" i="1" s="1"/>
  <c r="C374" i="1" s="1"/>
  <c r="C378" i="1"/>
  <c r="C379" i="1"/>
  <c r="C380" i="1" s="1"/>
  <c r="C381" i="1" s="1"/>
  <c r="C382" i="1" s="1"/>
  <c r="C383" i="1" s="1"/>
  <c r="C384" i="1" s="1"/>
  <c r="C386" i="1"/>
  <c r="C387" i="1" s="1"/>
  <c r="C388" i="1" s="1"/>
  <c r="C389" i="1" s="1"/>
  <c r="C390" i="1" s="1"/>
  <c r="C391" i="1" s="1"/>
  <c r="C392" i="1" s="1"/>
  <c r="C396" i="1"/>
  <c r="C397" i="1"/>
  <c r="C398" i="1" s="1"/>
  <c r="C399" i="1" s="1"/>
  <c r="C400" i="1" s="1"/>
  <c r="C401" i="1" s="1"/>
  <c r="C402" i="1" s="1"/>
  <c r="C404" i="1"/>
  <c r="C405" i="1"/>
  <c r="C406" i="1"/>
  <c r="C407" i="1" s="1"/>
  <c r="C408" i="1" s="1"/>
  <c r="C409" i="1" s="1"/>
  <c r="C410" i="1" s="1"/>
  <c r="C414" i="1"/>
  <c r="C415" i="1"/>
  <c r="C416" i="1"/>
  <c r="C417" i="1"/>
  <c r="C418" i="1" s="1"/>
  <c r="C419" i="1" s="1"/>
  <c r="C420" i="1" s="1"/>
  <c r="C422" i="1"/>
  <c r="C423" i="1" s="1"/>
  <c r="C424" i="1" s="1"/>
  <c r="C425" i="1" s="1"/>
  <c r="C426" i="1" s="1"/>
  <c r="C427" i="1" s="1"/>
  <c r="C428" i="1" s="1"/>
  <c r="C430" i="1"/>
  <c r="C431" i="1" s="1"/>
  <c r="C432" i="1" s="1"/>
  <c r="C433" i="1" s="1"/>
  <c r="C434" i="1" s="1"/>
  <c r="C435" i="1" s="1"/>
  <c r="C436" i="1" s="1"/>
  <c r="C438" i="1"/>
  <c r="C442" i="1"/>
  <c r="C443" i="1" s="1"/>
  <c r="C444" i="1" s="1"/>
  <c r="C445" i="1" s="1"/>
  <c r="C446" i="1" s="1"/>
  <c r="C447" i="1" s="1"/>
  <c r="C448" i="1" s="1"/>
  <c r="C450" i="1"/>
  <c r="C451" i="1" s="1"/>
  <c r="C452" i="1" s="1"/>
  <c r="C453" i="1" s="1"/>
  <c r="C454" i="1" s="1"/>
  <c r="C455" i="1" s="1"/>
  <c r="C456" i="1" s="1"/>
  <c r="C458" i="1"/>
  <c r="C460" i="1"/>
  <c r="C462" i="1" s="1"/>
  <c r="C461" i="1"/>
  <c r="C464" i="1"/>
  <c r="C465" i="1"/>
  <c r="C466" i="1"/>
  <c r="C468" i="1"/>
  <c r="C470" i="1" s="1"/>
  <c r="C469" i="1"/>
  <c r="C472" i="1"/>
  <c r="C474" i="1" s="1"/>
  <c r="C473" i="1"/>
  <c r="C476" i="1"/>
  <c r="C477" i="1"/>
  <c r="C478" i="1"/>
  <c r="C480" i="1"/>
  <c r="C481" i="1"/>
  <c r="C482" i="1"/>
  <c r="C484" i="1"/>
  <c r="C487" i="1"/>
  <c r="C488" i="1"/>
  <c r="C489" i="1"/>
  <c r="C490" i="1"/>
  <c r="C491" i="1" s="1"/>
  <c r="C492" i="1" s="1"/>
  <c r="C493" i="1" s="1"/>
  <c r="C495" i="1"/>
  <c r="C496" i="1" s="1"/>
  <c r="C497" i="1"/>
  <c r="C501" i="1"/>
  <c r="C502" i="1"/>
  <c r="C503" i="1" s="1"/>
  <c r="C504" i="1" s="1"/>
  <c r="C505" i="1" s="1"/>
  <c r="C506" i="1" s="1"/>
  <c r="C507" i="1" s="1"/>
  <c r="C509" i="1"/>
  <c r="C510" i="1"/>
  <c r="C511" i="1"/>
  <c r="C512" i="1" s="1"/>
  <c r="C513" i="1" s="1"/>
  <c r="C514" i="1" s="1"/>
  <c r="C515" i="1" s="1"/>
  <c r="C517" i="1"/>
  <c r="C518" i="1"/>
  <c r="C519" i="1"/>
  <c r="C521" i="1"/>
  <c r="C523" i="1" s="1"/>
  <c r="C522" i="1"/>
  <c r="C527" i="1"/>
  <c r="C528" i="1" s="1"/>
  <c r="C529" i="1" s="1"/>
  <c r="C530" i="1" s="1"/>
  <c r="C531" i="1" s="1"/>
  <c r="C532" i="1" s="1"/>
  <c r="C533" i="1" s="1"/>
  <c r="C535" i="1"/>
  <c r="C536" i="1" s="1"/>
  <c r="C537" i="1" s="1"/>
  <c r="C538" i="1" s="1"/>
  <c r="C539" i="1" s="1"/>
  <c r="C540" i="1" s="1"/>
  <c r="C541" i="1"/>
  <c r="C543" i="1"/>
  <c r="C544" i="1"/>
  <c r="C545" i="1" s="1"/>
  <c r="C546" i="1" s="1"/>
  <c r="C547" i="1" s="1"/>
  <c r="C548" i="1" s="1"/>
  <c r="C549" i="1" s="1"/>
  <c r="C554" i="1"/>
  <c r="C555" i="1" s="1"/>
  <c r="C556" i="1" s="1"/>
  <c r="C557" i="1" s="1"/>
  <c r="C558" i="1" s="1"/>
  <c r="C559" i="1" s="1"/>
  <c r="C560" i="1" s="1"/>
  <c r="C562" i="1"/>
  <c r="C563" i="1"/>
  <c r="C564" i="1" s="1"/>
  <c r="C565" i="1" s="1"/>
  <c r="C566" i="1" s="1"/>
  <c r="C567" i="1" s="1"/>
  <c r="C568" i="1" s="1"/>
  <c r="C570" i="1"/>
  <c r="C571" i="1"/>
  <c r="C572" i="1"/>
  <c r="C573" i="1" s="1"/>
  <c r="C574" i="1" s="1"/>
  <c r="C575" i="1" s="1"/>
  <c r="C576" i="1" s="1"/>
  <c r="C578" i="1"/>
  <c r="C579" i="1"/>
  <c r="C580" i="1"/>
  <c r="C581" i="1"/>
  <c r="C582" i="1" s="1"/>
  <c r="C583" i="1" s="1"/>
  <c r="C584" i="1" s="1"/>
  <c r="C586" i="1"/>
  <c r="C587" i="1"/>
  <c r="C588" i="1"/>
  <c r="C592" i="1"/>
  <c r="C593" i="1"/>
  <c r="C594" i="1" s="1"/>
  <c r="C595" i="1" s="1"/>
  <c r="C596" i="1" s="1"/>
  <c r="C597" i="1" s="1"/>
  <c r="C598" i="1" s="1"/>
  <c r="C600" i="1"/>
  <c r="C601" i="1"/>
  <c r="C602" i="1"/>
  <c r="C603" i="1" s="1"/>
  <c r="C604" i="1" s="1"/>
  <c r="C605" i="1" s="1"/>
  <c r="C606" i="1" s="1"/>
  <c r="C608" i="1"/>
  <c r="C609" i="1"/>
  <c r="C610" i="1"/>
  <c r="C611" i="1"/>
  <c r="C612" i="1" s="1"/>
  <c r="C613" i="1" s="1"/>
  <c r="C614" i="1" s="1"/>
  <c r="C616" i="1"/>
  <c r="C617" i="1" s="1"/>
  <c r="C618" i="1" s="1"/>
  <c r="C619" i="1" s="1"/>
  <c r="C620" i="1"/>
  <c r="C621" i="1" s="1"/>
  <c r="C622" i="1" s="1"/>
  <c r="C624" i="1"/>
  <c r="C625" i="1" s="1"/>
  <c r="C626" i="1" s="1"/>
  <c r="C627" i="1" s="1"/>
  <c r="C628" i="1" s="1"/>
  <c r="C629" i="1" s="1"/>
  <c r="C630" i="1" s="1"/>
  <c r="C632" i="1"/>
  <c r="C633" i="1"/>
  <c r="C637" i="1"/>
  <c r="C638" i="1" s="1"/>
  <c r="C639" i="1" s="1"/>
  <c r="C640" i="1" s="1"/>
  <c r="C641" i="1"/>
  <c r="C642" i="1" s="1"/>
  <c r="C643" i="1" s="1"/>
  <c r="C645" i="1"/>
  <c r="C646" i="1" s="1"/>
  <c r="C647" i="1" s="1"/>
  <c r="C648" i="1" s="1"/>
  <c r="C649" i="1" s="1"/>
  <c r="C650" i="1"/>
  <c r="C651" i="1" s="1"/>
  <c r="C653" i="1"/>
  <c r="C657" i="1"/>
  <c r="C658" i="1" s="1"/>
  <c r="C659" i="1" s="1"/>
  <c r="C660" i="1" s="1"/>
  <c r="C661" i="1" s="1"/>
  <c r="C662" i="1"/>
  <c r="C663" i="1" s="1"/>
  <c r="C665" i="1"/>
  <c r="C666" i="1" s="1"/>
  <c r="C667" i="1" s="1"/>
  <c r="C668" i="1" s="1"/>
  <c r="C669" i="1" s="1"/>
  <c r="C670" i="1" s="1"/>
  <c r="C671" i="1"/>
  <c r="C675" i="1"/>
  <c r="C676" i="1"/>
  <c r="C677" i="1" s="1"/>
  <c r="C678" i="1" s="1"/>
  <c r="C679" i="1" s="1"/>
  <c r="C680" i="1" s="1"/>
  <c r="C681" i="1" s="1"/>
  <c r="C683" i="1"/>
  <c r="C684" i="1" s="1"/>
  <c r="C685" i="1" s="1"/>
  <c r="C686" i="1" s="1"/>
  <c r="C687" i="1" s="1"/>
  <c r="C688" i="1" s="1"/>
  <c r="C689" i="1" s="1"/>
  <c r="C694" i="1"/>
  <c r="C695" i="1"/>
  <c r="C696" i="1" s="1"/>
  <c r="C697" i="1" s="1"/>
  <c r="C698" i="1" s="1"/>
  <c r="C699" i="1" s="1"/>
  <c r="C700" i="1" s="1"/>
  <c r="C704" i="1"/>
  <c r="C705" i="1"/>
  <c r="C706" i="1"/>
  <c r="C707" i="1" s="1"/>
  <c r="C708" i="1" s="1"/>
  <c r="C709" i="1" s="1"/>
  <c r="C710" i="1" s="1"/>
  <c r="C712" i="1"/>
  <c r="C713" i="1"/>
  <c r="C714" i="1"/>
  <c r="C715" i="1"/>
  <c r="C716" i="1" s="1"/>
  <c r="C717" i="1" s="1"/>
  <c r="C718" i="1" s="1"/>
  <c r="C720" i="1"/>
  <c r="C721" i="1" s="1"/>
  <c r="C722" i="1" s="1"/>
  <c r="C723" i="1" s="1"/>
  <c r="C724" i="1"/>
  <c r="C725" i="1" s="1"/>
  <c r="C726" i="1" s="1"/>
  <c r="C728" i="1"/>
  <c r="C729" i="1" s="1"/>
  <c r="C730" i="1" s="1"/>
  <c r="C731" i="1" s="1"/>
  <c r="C732" i="1" s="1"/>
  <c r="C733" i="1"/>
  <c r="C734" i="1" s="1"/>
  <c r="C736" i="1"/>
  <c r="C737" i="1" s="1"/>
  <c r="C738" i="1" s="1"/>
  <c r="C739" i="1" s="1"/>
  <c r="C740" i="1" s="1"/>
  <c r="C741" i="1" s="1"/>
  <c r="C742" i="1" s="1"/>
  <c r="C744" i="1"/>
  <c r="C745" i="1"/>
  <c r="C746" i="1" s="1"/>
  <c r="C747" i="1" s="1"/>
  <c r="C748" i="1" s="1"/>
  <c r="C749" i="1" s="1"/>
  <c r="C750" i="1" s="1"/>
  <c r="C752" i="1"/>
  <c r="C753" i="1" s="1"/>
  <c r="C754" i="1" s="1"/>
  <c r="C755" i="1" s="1"/>
  <c r="C756" i="1" s="1"/>
  <c r="C757" i="1" s="1"/>
  <c r="C758" i="1" s="1"/>
  <c r="C760" i="1"/>
  <c r="C761" i="1"/>
  <c r="C762" i="1" s="1"/>
  <c r="C763" i="1" s="1"/>
  <c r="C764" i="1" s="1"/>
  <c r="C765" i="1" s="1"/>
  <c r="C766" i="1" s="1"/>
  <c r="C768" i="1"/>
  <c r="C769" i="1"/>
  <c r="C770" i="1"/>
  <c r="C771" i="1" s="1"/>
  <c r="C772" i="1" s="1"/>
  <c r="C773" i="1" s="1"/>
  <c r="C774" i="1" s="1"/>
  <c r="C776" i="1"/>
  <c r="C778" i="1"/>
  <c r="C779" i="1"/>
  <c r="C780" i="1"/>
  <c r="C782" i="1"/>
  <c r="C783" i="1"/>
  <c r="C784" i="1"/>
  <c r="C788" i="1"/>
  <c r="C789" i="1" s="1"/>
  <c r="C790" i="1" s="1"/>
  <c r="C791" i="1" s="1"/>
  <c r="C792" i="1"/>
  <c r="C793" i="1" s="1"/>
  <c r="C794" i="1" s="1"/>
  <c r="C796" i="1"/>
  <c r="C797" i="1"/>
  <c r="C798" i="1" s="1"/>
  <c r="C799" i="1" s="1"/>
  <c r="C800" i="1" s="1"/>
  <c r="C801" i="1"/>
  <c r="C802" i="1" s="1"/>
  <c r="C804" i="1"/>
  <c r="C805" i="1" s="1"/>
  <c r="C806" i="1" s="1"/>
  <c r="C807" i="1" s="1"/>
  <c r="C808" i="1" s="1"/>
  <c r="C809" i="1" s="1"/>
  <c r="C810" i="1"/>
  <c r="C812" i="1"/>
  <c r="C813" i="1"/>
  <c r="C814" i="1" s="1"/>
  <c r="C815" i="1" s="1"/>
  <c r="C816" i="1" s="1"/>
  <c r="C817" i="1" s="1"/>
  <c r="C818" i="1" s="1"/>
  <c r="C822" i="1"/>
  <c r="C824" i="1"/>
  <c r="C826" i="1"/>
  <c r="C827" i="1" s="1"/>
  <c r="C828" i="1" s="1"/>
  <c r="C829" i="1" s="1"/>
  <c r="C830" i="1" s="1"/>
  <c r="C834" i="1"/>
  <c r="C836" i="1"/>
  <c r="C837" i="1" s="1"/>
  <c r="C839" i="1"/>
  <c r="C840" i="1" s="1"/>
  <c r="C843" i="1"/>
  <c r="C844" i="1" s="1"/>
  <c r="C846" i="1"/>
  <c r="C847" i="1"/>
  <c r="C849" i="1"/>
  <c r="C854" i="1"/>
  <c r="C855" i="1"/>
  <c r="C856" i="1"/>
  <c r="C857" i="1" s="1"/>
  <c r="C858" i="1" s="1"/>
  <c r="C859" i="1" s="1"/>
  <c r="C860" i="1" s="1"/>
  <c r="C864" i="1"/>
  <c r="C865" i="1" s="1"/>
  <c r="C866" i="1" s="1"/>
  <c r="C867" i="1" s="1"/>
  <c r="C868" i="1" s="1"/>
  <c r="C869" i="1" s="1"/>
  <c r="C870" i="1" s="1"/>
  <c r="C872" i="1"/>
  <c r="C873" i="1"/>
  <c r="C874" i="1" s="1"/>
  <c r="C875" i="1" s="1"/>
  <c r="C876" i="1" s="1"/>
  <c r="C877" i="1" s="1"/>
  <c r="C878" i="1" s="1"/>
  <c r="C880" i="1"/>
  <c r="C881" i="1"/>
  <c r="C882" i="1"/>
  <c r="C883" i="1" s="1"/>
  <c r="C884" i="1" s="1"/>
  <c r="C885" i="1" s="1"/>
  <c r="C886" i="1" s="1"/>
  <c r="C891" i="1"/>
  <c r="C892" i="1"/>
  <c r="C893" i="1"/>
  <c r="C894" i="1"/>
  <c r="C895" i="1" s="1"/>
  <c r="C896" i="1" s="1"/>
  <c r="C897" i="1" s="1"/>
  <c r="C899" i="1"/>
  <c r="C900" i="1" s="1"/>
  <c r="C901" i="1" s="1"/>
  <c r="C902" i="1" s="1"/>
  <c r="C903" i="1"/>
  <c r="C904" i="1" s="1"/>
  <c r="C905" i="1" s="1"/>
  <c r="C907" i="1"/>
  <c r="C908" i="1" s="1"/>
  <c r="C909" i="1" s="1"/>
  <c r="C910" i="1" s="1"/>
  <c r="C911" i="1" s="1"/>
  <c r="C912" i="1"/>
  <c r="C913" i="1" s="1"/>
  <c r="C915" i="1"/>
  <c r="C916" i="1"/>
  <c r="C917" i="1" s="1"/>
  <c r="C918" i="1" s="1"/>
  <c r="C919" i="1" s="1"/>
  <c r="C920" i="1" s="1"/>
  <c r="C921" i="1"/>
  <c r="C926" i="1"/>
  <c r="C927" i="1"/>
  <c r="C928" i="1"/>
  <c r="C929" i="1" s="1"/>
  <c r="C930" i="1" s="1"/>
  <c r="C931" i="1" s="1"/>
  <c r="C932" i="1" s="1"/>
  <c r="C936" i="1"/>
  <c r="C937" i="1" s="1"/>
  <c r="C938" i="1" s="1"/>
  <c r="C939" i="1" s="1"/>
  <c r="C940" i="1" s="1"/>
  <c r="C941" i="1" s="1"/>
  <c r="C942" i="1" s="1"/>
  <c r="C946" i="1"/>
  <c r="C947" i="1" s="1"/>
  <c r="C948" i="1" s="1"/>
  <c r="C949" i="1" s="1"/>
  <c r="C950" i="1" s="1"/>
  <c r="C951" i="1" s="1"/>
  <c r="C952" i="1" s="1"/>
  <c r="C956" i="1"/>
  <c r="C957" i="1"/>
  <c r="C958" i="1"/>
  <c r="C962" i="1"/>
  <c r="C963" i="1"/>
  <c r="C964" i="1"/>
  <c r="Q4" i="2" l="1"/>
  <c r="P3" i="2"/>
  <c r="P2" i="2" s="1"/>
  <c r="Q5" i="2"/>
  <c r="Y5" i="2"/>
  <c r="Z1" i="2"/>
  <c r="Q6" i="2"/>
  <c r="R66" i="2"/>
  <c r="Q66" i="2"/>
  <c r="R65" i="2"/>
  <c r="Q65" i="2"/>
  <c r="R64" i="2"/>
  <c r="Q64" i="2"/>
  <c r="W62" i="2"/>
  <c r="W61" i="2"/>
  <c r="W60" i="2"/>
  <c r="W55" i="2"/>
  <c r="W54" i="2"/>
  <c r="W53" i="2"/>
  <c r="P53" i="2"/>
  <c r="O53" i="2"/>
  <c r="N53" i="2"/>
  <c r="M53" i="2"/>
  <c r="M54" i="2" s="1"/>
  <c r="L53" i="2"/>
  <c r="K53" i="2"/>
  <c r="J53" i="2"/>
  <c r="I53" i="2"/>
  <c r="H53" i="2"/>
  <c r="G53" i="2"/>
  <c r="F53" i="2"/>
  <c r="E53" i="2"/>
  <c r="Q52" i="2"/>
  <c r="Q53" i="2" s="1"/>
  <c r="Q49" i="2"/>
  <c r="Q50" i="2" s="1"/>
  <c r="R48" i="2"/>
  <c r="Q48" i="2"/>
  <c r="R43" i="2"/>
  <c r="K42" i="2"/>
  <c r="I42" i="2"/>
  <c r="D42" i="2"/>
  <c r="C42" i="2"/>
  <c r="B42" i="2"/>
  <c r="R41" i="2"/>
  <c r="R40" i="2"/>
  <c r="S38" i="2"/>
  <c r="R38" i="2"/>
  <c r="Q37" i="2"/>
  <c r="O35" i="2"/>
  <c r="M35" i="2"/>
  <c r="I35" i="2"/>
  <c r="G35" i="2"/>
  <c r="E35" i="2"/>
  <c r="P35" i="2"/>
  <c r="N35" i="2"/>
  <c r="L35" i="2"/>
  <c r="K35" i="2"/>
  <c r="J35" i="2"/>
  <c r="H35" i="2"/>
  <c r="F35" i="2"/>
  <c r="D35" i="2"/>
  <c r="C35" i="2"/>
  <c r="B35" i="2"/>
  <c r="O32" i="2"/>
  <c r="M32" i="2"/>
  <c r="K32" i="2"/>
  <c r="G32" i="2"/>
  <c r="G25" i="2" s="1"/>
  <c r="I32" i="2"/>
  <c r="P32" i="2"/>
  <c r="N32" i="2"/>
  <c r="L32" i="2"/>
  <c r="J32" i="2"/>
  <c r="H32" i="2"/>
  <c r="F32" i="2"/>
  <c r="D32" i="2"/>
  <c r="C32" i="2"/>
  <c r="B32" i="2"/>
  <c r="U31" i="2"/>
  <c r="S31" i="2"/>
  <c r="Q31" i="2"/>
  <c r="T31" i="2" s="1"/>
  <c r="T30" i="2"/>
  <c r="Q30" i="2"/>
  <c r="S30" i="2" s="1"/>
  <c r="Q29" i="2"/>
  <c r="U29" i="2" s="1"/>
  <c r="K26" i="2"/>
  <c r="Q28" i="2"/>
  <c r="T28" i="2" s="1"/>
  <c r="Q27" i="2"/>
  <c r="S27" i="2" s="1"/>
  <c r="P26" i="2"/>
  <c r="P25" i="2" s="1"/>
  <c r="O26" i="2"/>
  <c r="N26" i="2"/>
  <c r="M26" i="2"/>
  <c r="L26" i="2"/>
  <c r="L25" i="2" s="1"/>
  <c r="J26" i="2"/>
  <c r="I26" i="2"/>
  <c r="H26" i="2"/>
  <c r="H25" i="2" s="1"/>
  <c r="G26" i="2"/>
  <c r="F26" i="2"/>
  <c r="F25" i="2" s="1"/>
  <c r="E26" i="2"/>
  <c r="D26" i="2"/>
  <c r="D25" i="2" s="1"/>
  <c r="C26" i="2"/>
  <c r="B26" i="2"/>
  <c r="Q24" i="2"/>
  <c r="N22" i="2"/>
  <c r="N54" i="2" s="1"/>
  <c r="L22" i="2"/>
  <c r="L16" i="2" s="1"/>
  <c r="J22" i="2"/>
  <c r="J16" i="2" s="1"/>
  <c r="F22" i="2"/>
  <c r="E22" i="2"/>
  <c r="P22" i="2"/>
  <c r="P16" i="2" s="1"/>
  <c r="O22" i="2"/>
  <c r="O54" i="2" s="1"/>
  <c r="M22" i="2"/>
  <c r="K22" i="2"/>
  <c r="I22" i="2"/>
  <c r="H22" i="2"/>
  <c r="H16" i="2" s="1"/>
  <c r="G22" i="2"/>
  <c r="G54" i="2" s="1"/>
  <c r="D22" i="2"/>
  <c r="C22" i="2"/>
  <c r="B22" i="2"/>
  <c r="P42" i="2"/>
  <c r="O42" i="2"/>
  <c r="N42" i="2"/>
  <c r="M19" i="2"/>
  <c r="L19" i="2"/>
  <c r="K19" i="2"/>
  <c r="J42" i="2"/>
  <c r="H42" i="2"/>
  <c r="G42" i="2"/>
  <c r="F42" i="2"/>
  <c r="O19" i="2"/>
  <c r="I19" i="2"/>
  <c r="G19" i="2"/>
  <c r="Z19" i="2"/>
  <c r="P19" i="2"/>
  <c r="N19" i="2"/>
  <c r="J19" i="2"/>
  <c r="H19" i="2"/>
  <c r="F19" i="2"/>
  <c r="D19" i="2"/>
  <c r="C19" i="2"/>
  <c r="B19" i="2"/>
  <c r="O16" i="2"/>
  <c r="M16" i="2"/>
  <c r="G16" i="2"/>
  <c r="I16" i="2"/>
  <c r="K16" i="2"/>
  <c r="D16" i="2"/>
  <c r="C16" i="2"/>
  <c r="B16" i="2"/>
  <c r="Q15" i="2"/>
  <c r="H14" i="2"/>
  <c r="C14" i="2"/>
  <c r="C44" i="2" s="1"/>
  <c r="S12" i="2"/>
  <c r="Q12" i="2"/>
  <c r="U12" i="2" s="1"/>
  <c r="Q11" i="2"/>
  <c r="U11" i="2" s="1"/>
  <c r="Q10" i="2"/>
  <c r="U10" i="2" s="1"/>
  <c r="Q9" i="2"/>
  <c r="R9" i="2" s="1"/>
  <c r="V8" i="2"/>
  <c r="S8" i="2"/>
  <c r="Q8" i="2"/>
  <c r="U8" i="2" s="1"/>
  <c r="Y7" i="2"/>
  <c r="Q7" i="2"/>
  <c r="U7" i="2" s="1"/>
  <c r="E3" i="2"/>
  <c r="E2" i="2" s="1"/>
  <c r="N3" i="2"/>
  <c r="N2" i="2" s="1"/>
  <c r="M3" i="2"/>
  <c r="M2" i="2" s="1"/>
  <c r="L3" i="2"/>
  <c r="L2" i="2" s="1"/>
  <c r="K3" i="2"/>
  <c r="K2" i="2" s="1"/>
  <c r="J3" i="2"/>
  <c r="J2" i="2" s="1"/>
  <c r="I3" i="2"/>
  <c r="H3" i="2"/>
  <c r="H2" i="2" s="1"/>
  <c r="G3" i="2"/>
  <c r="F3" i="2"/>
  <c r="F2" i="2" s="1"/>
  <c r="D3" i="2"/>
  <c r="Z4" i="2" s="1"/>
  <c r="C3" i="2"/>
  <c r="C2" i="2" s="1"/>
  <c r="B3" i="2"/>
  <c r="I2" i="2"/>
  <c r="G2" i="2"/>
  <c r="H961" i="1"/>
  <c r="H960" i="1" s="1"/>
  <c r="H959" i="1" s="1"/>
  <c r="J961" i="1"/>
  <c r="J960" i="1" s="1"/>
  <c r="J959" i="1" s="1"/>
  <c r="H955" i="1"/>
  <c r="H954" i="1" s="1"/>
  <c r="H953" i="1" s="1"/>
  <c r="J955" i="1"/>
  <c r="J954" i="1" s="1"/>
  <c r="J953" i="1" s="1"/>
  <c r="H945" i="1"/>
  <c r="H944" i="1" s="1"/>
  <c r="J945" i="1"/>
  <c r="J943" i="1" s="1"/>
  <c r="H935" i="1"/>
  <c r="H934" i="1" s="1"/>
  <c r="H933" i="1" s="1"/>
  <c r="J935" i="1"/>
  <c r="J934" i="1" s="1"/>
  <c r="J933" i="1" s="1"/>
  <c r="H925" i="1"/>
  <c r="H924" i="1" s="1"/>
  <c r="H923" i="1" s="1"/>
  <c r="J925" i="1"/>
  <c r="J924" i="1" s="1"/>
  <c r="J923" i="1" s="1"/>
  <c r="H914" i="1"/>
  <c r="J914" i="1"/>
  <c r="H906" i="1"/>
  <c r="J906" i="1"/>
  <c r="H898" i="1"/>
  <c r="J898" i="1"/>
  <c r="H890" i="1"/>
  <c r="J890" i="1"/>
  <c r="H879" i="1"/>
  <c r="J879" i="1"/>
  <c r="H871" i="1"/>
  <c r="J871" i="1"/>
  <c r="H863" i="1"/>
  <c r="J863" i="1"/>
  <c r="J862" i="1" s="1"/>
  <c r="J861" i="1" s="1"/>
  <c r="H853" i="1"/>
  <c r="H852" i="1" s="1"/>
  <c r="H851" i="1" s="1"/>
  <c r="J853" i="1"/>
  <c r="J852" i="1" s="1"/>
  <c r="J851" i="1" s="1"/>
  <c r="H848" i="1"/>
  <c r="J848" i="1"/>
  <c r="H845" i="1"/>
  <c r="J845" i="1"/>
  <c r="H842" i="1"/>
  <c r="H841" i="1" s="1"/>
  <c r="J842" i="1"/>
  <c r="H838" i="1"/>
  <c r="J838" i="1"/>
  <c r="H835" i="1"/>
  <c r="J835" i="1"/>
  <c r="H833" i="1"/>
  <c r="J833" i="1"/>
  <c r="H825" i="1"/>
  <c r="J825" i="1"/>
  <c r="H823" i="1"/>
  <c r="J823" i="1"/>
  <c r="H821" i="1"/>
  <c r="J821" i="1"/>
  <c r="H811" i="1"/>
  <c r="J811" i="1"/>
  <c r="H803" i="1"/>
  <c r="J803" i="1"/>
  <c r="H795" i="1"/>
  <c r="J795" i="1"/>
  <c r="H787" i="1"/>
  <c r="J787" i="1"/>
  <c r="H781" i="1"/>
  <c r="J781" i="1"/>
  <c r="H777" i="1"/>
  <c r="J777" i="1"/>
  <c r="H775" i="1"/>
  <c r="J775" i="1"/>
  <c r="H767" i="1"/>
  <c r="J767" i="1"/>
  <c r="H759" i="1"/>
  <c r="J759" i="1"/>
  <c r="H751" i="1"/>
  <c r="J751" i="1"/>
  <c r="H743" i="1"/>
  <c r="J743" i="1"/>
  <c r="H735" i="1"/>
  <c r="J735" i="1"/>
  <c r="H727" i="1"/>
  <c r="J727" i="1"/>
  <c r="H719" i="1"/>
  <c r="J719" i="1"/>
  <c r="H711" i="1"/>
  <c r="J711" i="1"/>
  <c r="H703" i="1"/>
  <c r="J703" i="1"/>
  <c r="H693" i="1"/>
  <c r="H692" i="1" s="1"/>
  <c r="H691" i="1" s="1"/>
  <c r="J693" i="1"/>
  <c r="J692" i="1" s="1"/>
  <c r="J691" i="1" s="1"/>
  <c r="H682" i="1"/>
  <c r="J682" i="1"/>
  <c r="H674" i="1"/>
  <c r="J674" i="1"/>
  <c r="H664" i="1"/>
  <c r="J664" i="1"/>
  <c r="H656" i="1"/>
  <c r="J656" i="1"/>
  <c r="H652" i="1"/>
  <c r="J652" i="1"/>
  <c r="H644" i="1"/>
  <c r="J644" i="1"/>
  <c r="H636" i="1"/>
  <c r="J636" i="1"/>
  <c r="H631" i="1"/>
  <c r="J631" i="1"/>
  <c r="H623" i="1"/>
  <c r="J623" i="1"/>
  <c r="H615" i="1"/>
  <c r="J615" i="1"/>
  <c r="H607" i="1"/>
  <c r="J607" i="1"/>
  <c r="H599" i="1"/>
  <c r="J599" i="1"/>
  <c r="H591" i="1"/>
  <c r="J591" i="1"/>
  <c r="H585" i="1"/>
  <c r="J585" i="1"/>
  <c r="H577" i="1"/>
  <c r="J577" i="1"/>
  <c r="H569" i="1"/>
  <c r="J569" i="1"/>
  <c r="H561" i="1"/>
  <c r="J561" i="1"/>
  <c r="H553" i="1"/>
  <c r="J553" i="1"/>
  <c r="H542" i="1"/>
  <c r="J542" i="1"/>
  <c r="H534" i="1"/>
  <c r="J534" i="1"/>
  <c r="H526" i="1"/>
  <c r="J526" i="1"/>
  <c r="H520" i="1"/>
  <c r="J520" i="1"/>
  <c r="H516" i="1"/>
  <c r="J516" i="1"/>
  <c r="H508" i="1"/>
  <c r="J508" i="1"/>
  <c r="H500" i="1"/>
  <c r="J500" i="1"/>
  <c r="H494" i="1"/>
  <c r="J494" i="1"/>
  <c r="H486" i="1"/>
  <c r="J486" i="1"/>
  <c r="J485" i="1" s="1"/>
  <c r="H483" i="1"/>
  <c r="J483" i="1"/>
  <c r="H479" i="1"/>
  <c r="J479" i="1"/>
  <c r="H475" i="1"/>
  <c r="J475" i="1"/>
  <c r="H471" i="1"/>
  <c r="J471" i="1"/>
  <c r="H467" i="1"/>
  <c r="J467" i="1"/>
  <c r="H463" i="1"/>
  <c r="J463" i="1"/>
  <c r="H459" i="1"/>
  <c r="J459" i="1"/>
  <c r="H457" i="1"/>
  <c r="J457" i="1"/>
  <c r="H449" i="1"/>
  <c r="J449" i="1"/>
  <c r="H441" i="1"/>
  <c r="J441" i="1"/>
  <c r="H437" i="1"/>
  <c r="J437" i="1"/>
  <c r="H429" i="1"/>
  <c r="J429" i="1"/>
  <c r="H421" i="1"/>
  <c r="J421" i="1"/>
  <c r="H413" i="1"/>
  <c r="J413" i="1"/>
  <c r="H403" i="1"/>
  <c r="J403" i="1"/>
  <c r="H395" i="1"/>
  <c r="J395" i="1"/>
  <c r="J394" i="1" s="1"/>
  <c r="J393" i="1" s="1"/>
  <c r="H385" i="1"/>
  <c r="J385" i="1"/>
  <c r="H377" i="1"/>
  <c r="H375" i="1" s="1"/>
  <c r="J377" i="1"/>
  <c r="J375" i="1" s="1"/>
  <c r="H367" i="1"/>
  <c r="H366" i="1" s="1"/>
  <c r="J367" i="1"/>
  <c r="J366" i="1" s="1"/>
  <c r="H358" i="1"/>
  <c r="J358" i="1"/>
  <c r="H356" i="1"/>
  <c r="J356" i="1"/>
  <c r="H352" i="1"/>
  <c r="J352" i="1"/>
  <c r="H349" i="1"/>
  <c r="J349" i="1"/>
  <c r="H345" i="1"/>
  <c r="J345" i="1"/>
  <c r="H337" i="1"/>
  <c r="J337" i="1"/>
  <c r="H329" i="1"/>
  <c r="J329" i="1"/>
  <c r="H322" i="1"/>
  <c r="J322" i="1"/>
  <c r="H314" i="1"/>
  <c r="J314" i="1"/>
  <c r="H306" i="1"/>
  <c r="J306" i="1"/>
  <c r="H296" i="1"/>
  <c r="J296" i="1"/>
  <c r="H288" i="1"/>
  <c r="J288" i="1"/>
  <c r="H280" i="1"/>
  <c r="J280" i="1"/>
  <c r="H272" i="1"/>
  <c r="J272" i="1"/>
  <c r="H266" i="1"/>
  <c r="J266" i="1"/>
  <c r="H262" i="1"/>
  <c r="J262" i="1"/>
  <c r="H258" i="1"/>
  <c r="J258" i="1"/>
  <c r="H250" i="1"/>
  <c r="J250" i="1"/>
  <c r="H242" i="1"/>
  <c r="J242" i="1"/>
  <c r="H236" i="1"/>
  <c r="J236" i="1"/>
  <c r="H232" i="1"/>
  <c r="J232" i="1"/>
  <c r="H228" i="1"/>
  <c r="J228" i="1"/>
  <c r="H224" i="1"/>
  <c r="J224" i="1"/>
  <c r="H216" i="1"/>
  <c r="J216" i="1"/>
  <c r="H208" i="1"/>
  <c r="J208" i="1"/>
  <c r="H200" i="1"/>
  <c r="J200" i="1"/>
  <c r="H192" i="1"/>
  <c r="J192" i="1"/>
  <c r="H184" i="1"/>
  <c r="J184" i="1"/>
  <c r="H176" i="1"/>
  <c r="J176" i="1"/>
  <c r="H168" i="1"/>
  <c r="J168" i="1"/>
  <c r="H162" i="1"/>
  <c r="J162" i="1"/>
  <c r="H158" i="1"/>
  <c r="J158" i="1"/>
  <c r="H150" i="1"/>
  <c r="J150" i="1"/>
  <c r="H142" i="1"/>
  <c r="J142" i="1"/>
  <c r="H134" i="1"/>
  <c r="J134" i="1"/>
  <c r="H126" i="1"/>
  <c r="J126" i="1"/>
  <c r="H116" i="1"/>
  <c r="J116" i="1"/>
  <c r="H108" i="1"/>
  <c r="J108" i="1"/>
  <c r="H100" i="1"/>
  <c r="J100" i="1"/>
  <c r="H92" i="1"/>
  <c r="J92" i="1"/>
  <c r="H84" i="1"/>
  <c r="J84" i="1"/>
  <c r="H81" i="1"/>
  <c r="J81" i="1"/>
  <c r="H79" i="1"/>
  <c r="J79" i="1"/>
  <c r="H71" i="1"/>
  <c r="J71" i="1"/>
  <c r="H67" i="1"/>
  <c r="J67" i="1"/>
  <c r="H63" i="1"/>
  <c r="J63" i="1"/>
  <c r="H55" i="1"/>
  <c r="J55" i="1"/>
  <c r="H47" i="1"/>
  <c r="J47" i="1"/>
  <c r="H41" i="1"/>
  <c r="J41" i="1"/>
  <c r="H33" i="1"/>
  <c r="J33" i="1"/>
  <c r="H25" i="1"/>
  <c r="J25" i="1"/>
  <c r="H17" i="1"/>
  <c r="J17" i="1"/>
  <c r="H9" i="1"/>
  <c r="J9" i="1"/>
  <c r="E990" i="1"/>
  <c r="E989" i="1"/>
  <c r="E988" i="1"/>
  <c r="E987" i="1"/>
  <c r="E986" i="1"/>
  <c r="E985" i="1"/>
  <c r="E984" i="1"/>
  <c r="AP964" i="1"/>
  <c r="E964" i="1"/>
  <c r="AP963" i="1"/>
  <c r="E963" i="1"/>
  <c r="G963" i="1"/>
  <c r="AP962" i="1"/>
  <c r="K962" i="1"/>
  <c r="E962" i="1"/>
  <c r="F962" i="1"/>
  <c r="E961" i="1"/>
  <c r="E960" i="1"/>
  <c r="E959" i="1"/>
  <c r="AP958" i="1"/>
  <c r="E958" i="1"/>
  <c r="AP957" i="1"/>
  <c r="E957" i="1"/>
  <c r="G957" i="1"/>
  <c r="AP956" i="1"/>
  <c r="E956" i="1"/>
  <c r="G956" i="1"/>
  <c r="E954" i="1"/>
  <c r="AP952" i="1"/>
  <c r="E952" i="1"/>
  <c r="AP951" i="1"/>
  <c r="E951" i="1"/>
  <c r="AP950" i="1"/>
  <c r="E950" i="1"/>
  <c r="AP949" i="1"/>
  <c r="E949" i="1"/>
  <c r="AP948" i="1"/>
  <c r="E948" i="1"/>
  <c r="AP947" i="1"/>
  <c r="K947" i="1"/>
  <c r="E947" i="1"/>
  <c r="AP946" i="1"/>
  <c r="K946" i="1"/>
  <c r="L946" i="1"/>
  <c r="E946" i="1"/>
  <c r="G946" i="1"/>
  <c r="E944" i="1"/>
  <c r="AP942" i="1"/>
  <c r="E942" i="1"/>
  <c r="AP941" i="1"/>
  <c r="E941" i="1"/>
  <c r="AP940" i="1"/>
  <c r="E940" i="1"/>
  <c r="AP939" i="1"/>
  <c r="E939" i="1"/>
  <c r="AP938" i="1"/>
  <c r="E938" i="1"/>
  <c r="AP937" i="1"/>
  <c r="E937" i="1"/>
  <c r="AP936" i="1"/>
  <c r="K936" i="1"/>
  <c r="E936" i="1"/>
  <c r="E934" i="1"/>
  <c r="AP932" i="1"/>
  <c r="E932" i="1"/>
  <c r="AP931" i="1"/>
  <c r="E931" i="1"/>
  <c r="AP930" i="1"/>
  <c r="E930" i="1"/>
  <c r="AP929" i="1"/>
  <c r="E929" i="1"/>
  <c r="AP928" i="1"/>
  <c r="E928" i="1"/>
  <c r="AP927" i="1"/>
  <c r="E927" i="1"/>
  <c r="AP926" i="1"/>
  <c r="E926" i="1"/>
  <c r="G927" i="1"/>
  <c r="E924" i="1"/>
  <c r="AP921" i="1"/>
  <c r="E921" i="1"/>
  <c r="AP920" i="1"/>
  <c r="E920" i="1"/>
  <c r="AP919" i="1"/>
  <c r="E919" i="1"/>
  <c r="AP918" i="1"/>
  <c r="E918" i="1"/>
  <c r="AP917" i="1"/>
  <c r="E917" i="1"/>
  <c r="AP916" i="1"/>
  <c r="E916" i="1"/>
  <c r="AP915" i="1"/>
  <c r="K915" i="1"/>
  <c r="E915" i="1"/>
  <c r="G915" i="1"/>
  <c r="AP913" i="1"/>
  <c r="AN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E913" i="1"/>
  <c r="AP912" i="1"/>
  <c r="E912" i="1"/>
  <c r="AP911" i="1"/>
  <c r="E911" i="1"/>
  <c r="AP910" i="1"/>
  <c r="E910" i="1"/>
  <c r="AP909" i="1"/>
  <c r="E909" i="1"/>
  <c r="AP908" i="1"/>
  <c r="E908" i="1"/>
  <c r="AP907" i="1"/>
  <c r="E907" i="1"/>
  <c r="AP905" i="1"/>
  <c r="E905" i="1"/>
  <c r="AP904" i="1"/>
  <c r="E904" i="1"/>
  <c r="AP903" i="1"/>
  <c r="E903" i="1"/>
  <c r="AP902" i="1"/>
  <c r="E902" i="1"/>
  <c r="AP901" i="1"/>
  <c r="E901" i="1"/>
  <c r="AP900" i="1"/>
  <c r="E900" i="1"/>
  <c r="AP899" i="1"/>
  <c r="E899" i="1"/>
  <c r="AP897" i="1"/>
  <c r="AN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E897" i="1"/>
  <c r="AP896" i="1"/>
  <c r="E896" i="1"/>
  <c r="AP895" i="1"/>
  <c r="E895" i="1"/>
  <c r="AP894" i="1"/>
  <c r="E894" i="1"/>
  <c r="AP893" i="1"/>
  <c r="E893" i="1"/>
  <c r="AP892" i="1"/>
  <c r="E892" i="1"/>
  <c r="AP891" i="1"/>
  <c r="E891" i="1"/>
  <c r="E889" i="1"/>
  <c r="AP886" i="1"/>
  <c r="E886" i="1"/>
  <c r="AP885" i="1"/>
  <c r="E885" i="1"/>
  <c r="AP884" i="1"/>
  <c r="E884" i="1"/>
  <c r="AP883" i="1"/>
  <c r="E883" i="1"/>
  <c r="AP882" i="1"/>
  <c r="E882" i="1"/>
  <c r="AP881" i="1"/>
  <c r="E881" i="1"/>
  <c r="AP880" i="1"/>
  <c r="K880" i="1"/>
  <c r="E880" i="1"/>
  <c r="AP878" i="1"/>
  <c r="E878" i="1"/>
  <c r="AP877" i="1"/>
  <c r="E877" i="1"/>
  <c r="AP876" i="1"/>
  <c r="E876" i="1"/>
  <c r="AP875" i="1"/>
  <c r="E875" i="1"/>
  <c r="AP874" i="1"/>
  <c r="E874" i="1"/>
  <c r="AP873" i="1"/>
  <c r="E873" i="1"/>
  <c r="AP872" i="1"/>
  <c r="E872" i="1"/>
  <c r="AI871" i="1"/>
  <c r="AH871" i="1"/>
  <c r="AG871" i="1"/>
  <c r="AF871" i="1"/>
  <c r="AE871" i="1"/>
  <c r="AD871" i="1"/>
  <c r="AC871" i="1"/>
  <c r="AB871" i="1"/>
  <c r="AA871" i="1"/>
  <c r="Z871" i="1"/>
  <c r="Y871" i="1"/>
  <c r="X871" i="1"/>
  <c r="W871" i="1"/>
  <c r="AP870" i="1"/>
  <c r="E870" i="1"/>
  <c r="AP869" i="1"/>
  <c r="E869" i="1"/>
  <c r="AP868" i="1"/>
  <c r="E868" i="1"/>
  <c r="AP867" i="1"/>
  <c r="E867" i="1"/>
  <c r="AP866" i="1"/>
  <c r="E866" i="1"/>
  <c r="AP865" i="1"/>
  <c r="E865" i="1"/>
  <c r="AP864" i="1"/>
  <c r="E864" i="1"/>
  <c r="F864" i="1"/>
  <c r="E862" i="1"/>
  <c r="AP860" i="1"/>
  <c r="E860" i="1"/>
  <c r="AP859" i="1"/>
  <c r="E859" i="1"/>
  <c r="AP858" i="1"/>
  <c r="E858" i="1"/>
  <c r="AP857" i="1"/>
  <c r="E857" i="1"/>
  <c r="AP856" i="1"/>
  <c r="E856" i="1"/>
  <c r="AP855" i="1"/>
  <c r="E855" i="1"/>
  <c r="AP854" i="1"/>
  <c r="E854" i="1"/>
  <c r="F854" i="1"/>
  <c r="E852" i="1"/>
  <c r="AP849" i="1"/>
  <c r="E849" i="1"/>
  <c r="M849" i="1"/>
  <c r="M848" i="1" s="1"/>
  <c r="AP847" i="1"/>
  <c r="E847" i="1"/>
  <c r="AP846" i="1"/>
  <c r="E846" i="1"/>
  <c r="F846" i="1"/>
  <c r="AP844" i="1"/>
  <c r="E844" i="1"/>
  <c r="AP843" i="1"/>
  <c r="L843" i="1"/>
  <c r="E843" i="1"/>
  <c r="E841" i="1"/>
  <c r="AP840" i="1"/>
  <c r="E840" i="1"/>
  <c r="AP839" i="1"/>
  <c r="E839" i="1"/>
  <c r="AP837" i="1"/>
  <c r="E837" i="1"/>
  <c r="AP836" i="1"/>
  <c r="E836" i="1"/>
  <c r="AP834" i="1"/>
  <c r="E834" i="1"/>
  <c r="E832" i="1"/>
  <c r="AP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E830" i="1"/>
  <c r="AP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E829" i="1"/>
  <c r="AP828" i="1"/>
  <c r="AI828" i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E828" i="1"/>
  <c r="AP827" i="1"/>
  <c r="AI827" i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E827" i="1"/>
  <c r="AP826" i="1"/>
  <c r="AI826" i="1"/>
  <c r="AI825" i="1" s="1"/>
  <c r="AH826" i="1"/>
  <c r="AH825" i="1" s="1"/>
  <c r="AG826" i="1"/>
  <c r="AG825" i="1" s="1"/>
  <c r="AF826" i="1"/>
  <c r="AF825" i="1" s="1"/>
  <c r="AE826" i="1"/>
  <c r="AD826" i="1"/>
  <c r="AD825" i="1" s="1"/>
  <c r="AC826" i="1"/>
  <c r="AB826" i="1"/>
  <c r="AA826" i="1"/>
  <c r="AA825" i="1" s="1"/>
  <c r="Z826" i="1"/>
  <c r="Y826" i="1"/>
  <c r="Y825" i="1" s="1"/>
  <c r="X826" i="1"/>
  <c r="X825" i="1" s="1"/>
  <c r="W826" i="1"/>
  <c r="G826" i="1"/>
  <c r="E826" i="1"/>
  <c r="F826" i="1"/>
  <c r="AE825" i="1"/>
  <c r="AB825" i="1"/>
  <c r="Z825" i="1"/>
  <c r="W825" i="1"/>
  <c r="AP824" i="1"/>
  <c r="AI824" i="1"/>
  <c r="AI823" i="1" s="1"/>
  <c r="AH824" i="1"/>
  <c r="AH823" i="1" s="1"/>
  <c r="AG824" i="1"/>
  <c r="AG823" i="1" s="1"/>
  <c r="AF824" i="1"/>
  <c r="AF823" i="1" s="1"/>
  <c r="AE824" i="1"/>
  <c r="AE823" i="1" s="1"/>
  <c r="AD824" i="1"/>
  <c r="AD823" i="1" s="1"/>
  <c r="AC824" i="1"/>
  <c r="AB824" i="1"/>
  <c r="AA824" i="1"/>
  <c r="Z824" i="1"/>
  <c r="Y824" i="1"/>
  <c r="X824" i="1"/>
  <c r="X823" i="1" s="1"/>
  <c r="W824" i="1"/>
  <c r="W823" i="1" s="1"/>
  <c r="E824" i="1"/>
  <c r="AC823" i="1"/>
  <c r="AB823" i="1"/>
  <c r="AA823" i="1"/>
  <c r="Z823" i="1"/>
  <c r="Y823" i="1"/>
  <c r="AP822" i="1"/>
  <c r="L822" i="1"/>
  <c r="F822" i="1"/>
  <c r="F821" i="1" s="1"/>
  <c r="E822" i="1"/>
  <c r="AP818" i="1"/>
  <c r="E818" i="1"/>
  <c r="AP817" i="1"/>
  <c r="E817" i="1"/>
  <c r="AP816" i="1"/>
  <c r="E816" i="1"/>
  <c r="AP815" i="1"/>
  <c r="E815" i="1"/>
  <c r="AP814" i="1"/>
  <c r="E814" i="1"/>
  <c r="AP813" i="1"/>
  <c r="E813" i="1"/>
  <c r="AP812" i="1"/>
  <c r="E812" i="1"/>
  <c r="G812" i="1"/>
  <c r="AP810" i="1"/>
  <c r="E810" i="1"/>
  <c r="AP809" i="1"/>
  <c r="E809" i="1"/>
  <c r="AP808" i="1"/>
  <c r="E808" i="1"/>
  <c r="AP807" i="1"/>
  <c r="E807" i="1"/>
  <c r="AP806" i="1"/>
  <c r="E806" i="1"/>
  <c r="AP805" i="1"/>
  <c r="E805" i="1"/>
  <c r="G805" i="1"/>
  <c r="AP804" i="1"/>
  <c r="L804" i="1"/>
  <c r="E804" i="1"/>
  <c r="G804" i="1"/>
  <c r="AP802" i="1"/>
  <c r="E802" i="1"/>
  <c r="AP801" i="1"/>
  <c r="E801" i="1"/>
  <c r="AP800" i="1"/>
  <c r="E800" i="1"/>
  <c r="AP799" i="1"/>
  <c r="E799" i="1"/>
  <c r="AP798" i="1"/>
  <c r="E798" i="1"/>
  <c r="AP797" i="1"/>
  <c r="K797" i="1"/>
  <c r="E797" i="1"/>
  <c r="AP796" i="1"/>
  <c r="E796" i="1"/>
  <c r="AP794" i="1"/>
  <c r="E794" i="1"/>
  <c r="AP793" i="1"/>
  <c r="E793" i="1"/>
  <c r="AP792" i="1"/>
  <c r="E792" i="1"/>
  <c r="AP791" i="1"/>
  <c r="E791" i="1"/>
  <c r="AP790" i="1"/>
  <c r="E790" i="1"/>
  <c r="AP789" i="1"/>
  <c r="E789" i="1"/>
  <c r="AP788" i="1"/>
  <c r="E788" i="1"/>
  <c r="G788" i="1"/>
  <c r="E786" i="1"/>
  <c r="AP784" i="1"/>
  <c r="F784" i="1"/>
  <c r="L784" i="1" s="1"/>
  <c r="E784" i="1"/>
  <c r="AP783" i="1"/>
  <c r="E783" i="1"/>
  <c r="F783" i="1"/>
  <c r="AP782" i="1"/>
  <c r="K782" i="1"/>
  <c r="G782" i="1"/>
  <c r="E782" i="1"/>
  <c r="G784" i="1"/>
  <c r="AP780" i="1"/>
  <c r="W780" i="1"/>
  <c r="E780" i="1"/>
  <c r="AP779" i="1"/>
  <c r="AN779" i="1"/>
  <c r="AJ779" i="1"/>
  <c r="AI779" i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G779" i="1"/>
  <c r="E779" i="1"/>
  <c r="AP778" i="1"/>
  <c r="AN778" i="1"/>
  <c r="AN780" i="1" s="1"/>
  <c r="AJ778" i="1"/>
  <c r="AJ780" i="1" s="1"/>
  <c r="AI778" i="1"/>
  <c r="AI780" i="1" s="1"/>
  <c r="AH778" i="1"/>
  <c r="AH780" i="1" s="1"/>
  <c r="AG778" i="1"/>
  <c r="AG780" i="1" s="1"/>
  <c r="AF778" i="1"/>
  <c r="AF780" i="1" s="1"/>
  <c r="AE778" i="1"/>
  <c r="AE780" i="1" s="1"/>
  <c r="AD778" i="1"/>
  <c r="AD780" i="1" s="1"/>
  <c r="AC778" i="1"/>
  <c r="AB778" i="1"/>
  <c r="AB780" i="1" s="1"/>
  <c r="AA778" i="1"/>
  <c r="AA780" i="1" s="1"/>
  <c r="Z778" i="1"/>
  <c r="Z780" i="1" s="1"/>
  <c r="Y778" i="1"/>
  <c r="Y780" i="1" s="1"/>
  <c r="X778" i="1"/>
  <c r="X780" i="1" s="1"/>
  <c r="W778" i="1"/>
  <c r="V780" i="1"/>
  <c r="U780" i="1"/>
  <c r="T780" i="1"/>
  <c r="S780" i="1"/>
  <c r="R780" i="1"/>
  <c r="E778" i="1"/>
  <c r="AP776" i="1"/>
  <c r="E776" i="1"/>
  <c r="AP774" i="1"/>
  <c r="E774" i="1"/>
  <c r="AP773" i="1"/>
  <c r="E773" i="1"/>
  <c r="AP772" i="1"/>
  <c r="E772" i="1"/>
  <c r="AP771" i="1"/>
  <c r="E771" i="1"/>
  <c r="AP770" i="1"/>
  <c r="E770" i="1"/>
  <c r="AP769" i="1"/>
  <c r="E769" i="1"/>
  <c r="AP768" i="1"/>
  <c r="E768" i="1"/>
  <c r="AP766" i="1"/>
  <c r="E766" i="1"/>
  <c r="AP765" i="1"/>
  <c r="E765" i="1"/>
  <c r="AP764" i="1"/>
  <c r="E764" i="1"/>
  <c r="AP763" i="1"/>
  <c r="E763" i="1"/>
  <c r="AP762" i="1"/>
  <c r="E762" i="1"/>
  <c r="AP761" i="1"/>
  <c r="E761" i="1"/>
  <c r="AP760" i="1"/>
  <c r="E760" i="1"/>
  <c r="G760" i="1"/>
  <c r="AP758" i="1"/>
  <c r="E758" i="1"/>
  <c r="AP757" i="1"/>
  <c r="E757" i="1"/>
  <c r="AP756" i="1"/>
  <c r="E756" i="1"/>
  <c r="AP755" i="1"/>
  <c r="E755" i="1"/>
  <c r="AP754" i="1"/>
  <c r="E754" i="1"/>
  <c r="AP753" i="1"/>
  <c r="E753" i="1"/>
  <c r="AP752" i="1"/>
  <c r="E752" i="1"/>
  <c r="F752" i="1"/>
  <c r="AP750" i="1"/>
  <c r="AN750" i="1"/>
  <c r="AJ750" i="1"/>
  <c r="AI750" i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E750" i="1"/>
  <c r="AP749" i="1"/>
  <c r="E749" i="1"/>
  <c r="AP748" i="1"/>
  <c r="E748" i="1"/>
  <c r="AP747" i="1"/>
  <c r="AN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E747" i="1"/>
  <c r="AP746" i="1"/>
  <c r="E746" i="1"/>
  <c r="AP745" i="1"/>
  <c r="E745" i="1"/>
  <c r="AP744" i="1"/>
  <c r="E744" i="1"/>
  <c r="G745" i="1"/>
  <c r="AP742" i="1"/>
  <c r="E742" i="1"/>
  <c r="AP741" i="1"/>
  <c r="E741" i="1"/>
  <c r="AP740" i="1"/>
  <c r="E740" i="1"/>
  <c r="AP739" i="1"/>
  <c r="E739" i="1"/>
  <c r="AP738" i="1"/>
  <c r="E738" i="1"/>
  <c r="AP737" i="1"/>
  <c r="E737" i="1"/>
  <c r="AP736" i="1"/>
  <c r="E736" i="1"/>
  <c r="AP734" i="1"/>
  <c r="AN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E734" i="1"/>
  <c r="AP733" i="1"/>
  <c r="E733" i="1"/>
  <c r="AP732" i="1"/>
  <c r="E732" i="1"/>
  <c r="AP731" i="1"/>
  <c r="E731" i="1"/>
  <c r="AP730" i="1"/>
  <c r="E730" i="1"/>
  <c r="AP729" i="1"/>
  <c r="E729" i="1"/>
  <c r="AP728" i="1"/>
  <c r="E728" i="1"/>
  <c r="G728" i="1"/>
  <c r="AP726" i="1"/>
  <c r="E726" i="1"/>
  <c r="AP725" i="1"/>
  <c r="E725" i="1"/>
  <c r="AP724" i="1"/>
  <c r="E724" i="1"/>
  <c r="AP723" i="1"/>
  <c r="E723" i="1"/>
  <c r="AP722" i="1"/>
  <c r="E722" i="1"/>
  <c r="AP721" i="1"/>
  <c r="E721" i="1"/>
  <c r="AP720" i="1"/>
  <c r="E720" i="1"/>
  <c r="F720" i="1"/>
  <c r="AP718" i="1"/>
  <c r="E718" i="1"/>
  <c r="AP717" i="1"/>
  <c r="E717" i="1"/>
  <c r="AP716" i="1"/>
  <c r="E716" i="1"/>
  <c r="AP715" i="1"/>
  <c r="E715" i="1"/>
  <c r="AP714" i="1"/>
  <c r="E714" i="1"/>
  <c r="AP713" i="1"/>
  <c r="E713" i="1"/>
  <c r="AP712" i="1"/>
  <c r="L712" i="1"/>
  <c r="K712" i="1"/>
  <c r="E712" i="1"/>
  <c r="F712" i="1"/>
  <c r="AP710" i="1"/>
  <c r="E710" i="1"/>
  <c r="AP709" i="1"/>
  <c r="E709" i="1"/>
  <c r="AP708" i="1"/>
  <c r="E708" i="1"/>
  <c r="AP707" i="1"/>
  <c r="E707" i="1"/>
  <c r="AP706" i="1"/>
  <c r="E706" i="1"/>
  <c r="AP705" i="1"/>
  <c r="E705" i="1"/>
  <c r="AP704" i="1"/>
  <c r="E704" i="1"/>
  <c r="G704" i="1"/>
  <c r="E702" i="1"/>
  <c r="AP700" i="1"/>
  <c r="E700" i="1"/>
  <c r="AP699" i="1"/>
  <c r="E699" i="1"/>
  <c r="AP698" i="1"/>
  <c r="E698" i="1"/>
  <c r="AP697" i="1"/>
  <c r="E697" i="1"/>
  <c r="AP696" i="1"/>
  <c r="E696" i="1"/>
  <c r="AP695" i="1"/>
  <c r="E695" i="1"/>
  <c r="AP694" i="1"/>
  <c r="L694" i="1"/>
  <c r="K694" i="1"/>
  <c r="E694" i="1"/>
  <c r="E692" i="1"/>
  <c r="AP689" i="1"/>
  <c r="AN689" i="1"/>
  <c r="AJ689" i="1"/>
  <c r="AI689" i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E689" i="1"/>
  <c r="AP688" i="1"/>
  <c r="E688" i="1"/>
  <c r="AP687" i="1"/>
  <c r="E687" i="1"/>
  <c r="AP686" i="1"/>
  <c r="E686" i="1"/>
  <c r="AP685" i="1"/>
  <c r="E685" i="1"/>
  <c r="AP684" i="1"/>
  <c r="E684" i="1"/>
  <c r="AP683" i="1"/>
  <c r="K683" i="1"/>
  <c r="E683" i="1"/>
  <c r="AP681" i="1"/>
  <c r="AN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E681" i="1"/>
  <c r="AP680" i="1"/>
  <c r="E680" i="1"/>
  <c r="AP679" i="1"/>
  <c r="E679" i="1"/>
  <c r="AP678" i="1"/>
  <c r="E678" i="1"/>
  <c r="AP677" i="1"/>
  <c r="E677" i="1"/>
  <c r="AP676" i="1"/>
  <c r="E676" i="1"/>
  <c r="AP675" i="1"/>
  <c r="E675" i="1"/>
  <c r="E673" i="1"/>
  <c r="AP671" i="1"/>
  <c r="E671" i="1"/>
  <c r="AP670" i="1"/>
  <c r="E670" i="1"/>
  <c r="AP669" i="1"/>
  <c r="E669" i="1"/>
  <c r="AP668" i="1"/>
  <c r="E668" i="1"/>
  <c r="AP667" i="1"/>
  <c r="E667" i="1"/>
  <c r="AP666" i="1"/>
  <c r="E666" i="1"/>
  <c r="AP665" i="1"/>
  <c r="E665" i="1"/>
  <c r="G665" i="1"/>
  <c r="AP663" i="1"/>
  <c r="E663" i="1"/>
  <c r="AP662" i="1"/>
  <c r="E662" i="1"/>
  <c r="AP661" i="1"/>
  <c r="E661" i="1"/>
  <c r="AP660" i="1"/>
  <c r="E660" i="1"/>
  <c r="AP659" i="1"/>
  <c r="E659" i="1"/>
  <c r="AP658" i="1"/>
  <c r="E658" i="1"/>
  <c r="AP657" i="1"/>
  <c r="E657" i="1"/>
  <c r="E655" i="1"/>
  <c r="AP653" i="1"/>
  <c r="E653" i="1"/>
  <c r="AP651" i="1"/>
  <c r="E651" i="1"/>
  <c r="AP650" i="1"/>
  <c r="E650" i="1"/>
  <c r="AP649" i="1"/>
  <c r="E649" i="1"/>
  <c r="AP648" i="1"/>
  <c r="E648" i="1"/>
  <c r="AP647" i="1"/>
  <c r="E647" i="1"/>
  <c r="AP646" i="1"/>
  <c r="E646" i="1"/>
  <c r="AP645" i="1"/>
  <c r="E645" i="1"/>
  <c r="AP643" i="1"/>
  <c r="E643" i="1"/>
  <c r="AP642" i="1"/>
  <c r="E642" i="1"/>
  <c r="AP641" i="1"/>
  <c r="E641" i="1"/>
  <c r="AP640" i="1"/>
  <c r="E640" i="1"/>
  <c r="AP639" i="1"/>
  <c r="Q639" i="1"/>
  <c r="E639" i="1"/>
  <c r="AP638" i="1"/>
  <c r="E638" i="1"/>
  <c r="AP637" i="1"/>
  <c r="E637" i="1"/>
  <c r="E635" i="1"/>
  <c r="AP633" i="1"/>
  <c r="K633" i="1"/>
  <c r="E633" i="1"/>
  <c r="G633" i="1"/>
  <c r="AP632" i="1"/>
  <c r="E632" i="1"/>
  <c r="AP630" i="1"/>
  <c r="E630" i="1"/>
  <c r="AP629" i="1"/>
  <c r="E629" i="1"/>
  <c r="AP628" i="1"/>
  <c r="E628" i="1"/>
  <c r="AP627" i="1"/>
  <c r="E627" i="1"/>
  <c r="AP626" i="1"/>
  <c r="E626" i="1"/>
  <c r="AP625" i="1"/>
  <c r="E625" i="1"/>
  <c r="AP624" i="1"/>
  <c r="E624" i="1"/>
  <c r="F624" i="1"/>
  <c r="AP622" i="1"/>
  <c r="E622" i="1"/>
  <c r="AP621" i="1"/>
  <c r="E621" i="1"/>
  <c r="AP620" i="1"/>
  <c r="E620" i="1"/>
  <c r="AP619" i="1"/>
  <c r="Q619" i="1"/>
  <c r="E619" i="1"/>
  <c r="AP618" i="1"/>
  <c r="E618" i="1"/>
  <c r="AP617" i="1"/>
  <c r="E617" i="1"/>
  <c r="AP616" i="1"/>
  <c r="E616" i="1"/>
  <c r="AP614" i="1"/>
  <c r="AN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E614" i="1"/>
  <c r="AP613" i="1"/>
  <c r="E613" i="1"/>
  <c r="AP612" i="1"/>
  <c r="E612" i="1"/>
  <c r="AP611" i="1"/>
  <c r="E611" i="1"/>
  <c r="AP610" i="1"/>
  <c r="E610" i="1"/>
  <c r="AP609" i="1"/>
  <c r="E609" i="1"/>
  <c r="AP608" i="1"/>
  <c r="K608" i="1"/>
  <c r="F608" i="1"/>
  <c r="E608" i="1"/>
  <c r="AP606" i="1"/>
  <c r="E606" i="1"/>
  <c r="AP605" i="1"/>
  <c r="E605" i="1"/>
  <c r="AP604" i="1"/>
  <c r="E604" i="1"/>
  <c r="AP603" i="1"/>
  <c r="E603" i="1"/>
  <c r="AP602" i="1"/>
  <c r="E602" i="1"/>
  <c r="AP601" i="1"/>
  <c r="E601" i="1"/>
  <c r="AP600" i="1"/>
  <c r="E600" i="1"/>
  <c r="G600" i="1"/>
  <c r="AP598" i="1"/>
  <c r="E598" i="1"/>
  <c r="AP597" i="1"/>
  <c r="E597" i="1"/>
  <c r="AP596" i="1"/>
  <c r="E596" i="1"/>
  <c r="AP595" i="1"/>
  <c r="E595" i="1"/>
  <c r="AP594" i="1"/>
  <c r="E594" i="1"/>
  <c r="AP593" i="1"/>
  <c r="E593" i="1"/>
  <c r="AP592" i="1"/>
  <c r="E592" i="1"/>
  <c r="E590" i="1"/>
  <c r="AP588" i="1"/>
  <c r="E588" i="1"/>
  <c r="AP587" i="1"/>
  <c r="K587" i="1"/>
  <c r="E587" i="1"/>
  <c r="L587" i="1"/>
  <c r="AP586" i="1"/>
  <c r="E586" i="1"/>
  <c r="G586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AP584" i="1"/>
  <c r="E584" i="1"/>
  <c r="AP583" i="1"/>
  <c r="E583" i="1"/>
  <c r="AP582" i="1"/>
  <c r="E582" i="1"/>
  <c r="AP581" i="1"/>
  <c r="E581" i="1"/>
  <c r="AP580" i="1"/>
  <c r="E580" i="1"/>
  <c r="AP579" i="1"/>
  <c r="E579" i="1"/>
  <c r="AP578" i="1"/>
  <c r="G578" i="1"/>
  <c r="E578" i="1"/>
  <c r="AP576" i="1"/>
  <c r="E576" i="1"/>
  <c r="AP575" i="1"/>
  <c r="E575" i="1"/>
  <c r="AP574" i="1"/>
  <c r="E574" i="1"/>
  <c r="AP573" i="1"/>
  <c r="E573" i="1"/>
  <c r="AP572" i="1"/>
  <c r="E572" i="1"/>
  <c r="AP571" i="1"/>
  <c r="E571" i="1"/>
  <c r="AP570" i="1"/>
  <c r="E570" i="1"/>
  <c r="G570" i="1"/>
  <c r="AP568" i="1"/>
  <c r="E568" i="1"/>
  <c r="AP567" i="1"/>
  <c r="E567" i="1"/>
  <c r="AP566" i="1"/>
  <c r="E566" i="1"/>
  <c r="AP565" i="1"/>
  <c r="E565" i="1"/>
  <c r="AP564" i="1"/>
  <c r="E564" i="1"/>
  <c r="AP563" i="1"/>
  <c r="E563" i="1"/>
  <c r="AP562" i="1"/>
  <c r="K562" i="1"/>
  <c r="E562" i="1"/>
  <c r="G562" i="1"/>
  <c r="AP560" i="1"/>
  <c r="E560" i="1"/>
  <c r="AP559" i="1"/>
  <c r="E559" i="1"/>
  <c r="AP558" i="1"/>
  <c r="E558" i="1"/>
  <c r="AP557" i="1"/>
  <c r="E557" i="1"/>
  <c r="AP556" i="1"/>
  <c r="E556" i="1"/>
  <c r="AP555" i="1"/>
  <c r="E555" i="1"/>
  <c r="AP554" i="1"/>
  <c r="K554" i="1"/>
  <c r="E554" i="1"/>
  <c r="G554" i="1"/>
  <c r="E552" i="1"/>
  <c r="AP549" i="1"/>
  <c r="E549" i="1"/>
  <c r="AP548" i="1"/>
  <c r="E548" i="1"/>
  <c r="AP547" i="1"/>
  <c r="E547" i="1"/>
  <c r="AP546" i="1"/>
  <c r="E546" i="1"/>
  <c r="AP545" i="1"/>
  <c r="E545" i="1"/>
  <c r="AP544" i="1"/>
  <c r="E544" i="1"/>
  <c r="AP543" i="1"/>
  <c r="E543" i="1"/>
  <c r="AP541" i="1"/>
  <c r="E541" i="1"/>
  <c r="AP540" i="1"/>
  <c r="E540" i="1"/>
  <c r="AP539" i="1"/>
  <c r="E539" i="1"/>
  <c r="AP538" i="1"/>
  <c r="E538" i="1"/>
  <c r="AP537" i="1"/>
  <c r="E537" i="1"/>
  <c r="AP536" i="1"/>
  <c r="E536" i="1"/>
  <c r="AP535" i="1"/>
  <c r="K535" i="1"/>
  <c r="E535" i="1"/>
  <c r="G535" i="1"/>
  <c r="AP533" i="1"/>
  <c r="E533" i="1"/>
  <c r="AP532" i="1"/>
  <c r="E532" i="1"/>
  <c r="AP531" i="1"/>
  <c r="E531" i="1"/>
  <c r="AP530" i="1"/>
  <c r="E530" i="1"/>
  <c r="AP529" i="1"/>
  <c r="E529" i="1"/>
  <c r="AP528" i="1"/>
  <c r="E528" i="1"/>
  <c r="AP527" i="1"/>
  <c r="E527" i="1"/>
  <c r="F527" i="1"/>
  <c r="E525" i="1"/>
  <c r="AP523" i="1"/>
  <c r="E523" i="1"/>
  <c r="AP522" i="1"/>
  <c r="K522" i="1"/>
  <c r="E522" i="1"/>
  <c r="G522" i="1"/>
  <c r="AP521" i="1"/>
  <c r="Q523" i="1"/>
  <c r="L521" i="1"/>
  <c r="E521" i="1"/>
  <c r="AP519" i="1"/>
  <c r="E519" i="1"/>
  <c r="AP518" i="1"/>
  <c r="E518" i="1"/>
  <c r="AP517" i="1"/>
  <c r="E517" i="1"/>
  <c r="AP515" i="1"/>
  <c r="E515" i="1"/>
  <c r="AP514" i="1"/>
  <c r="E514" i="1"/>
  <c r="AP513" i="1"/>
  <c r="E513" i="1"/>
  <c r="AP512" i="1"/>
  <c r="E512" i="1"/>
  <c r="AP511" i="1"/>
  <c r="E511" i="1"/>
  <c r="AP510" i="1"/>
  <c r="E510" i="1"/>
  <c r="AP509" i="1"/>
  <c r="E509" i="1"/>
  <c r="AP507" i="1"/>
  <c r="E507" i="1"/>
  <c r="AP506" i="1"/>
  <c r="E506" i="1"/>
  <c r="AP505" i="1"/>
  <c r="E505" i="1"/>
  <c r="AP504" i="1"/>
  <c r="E504" i="1"/>
  <c r="AP503" i="1"/>
  <c r="E503" i="1"/>
  <c r="AP502" i="1"/>
  <c r="E502" i="1"/>
  <c r="AP501" i="1"/>
  <c r="E501" i="1"/>
  <c r="G501" i="1"/>
  <c r="E499" i="1"/>
  <c r="AP497" i="1"/>
  <c r="P497" i="1"/>
  <c r="E497" i="1"/>
  <c r="F497" i="1"/>
  <c r="L497" i="1" s="1"/>
  <c r="AP496" i="1"/>
  <c r="E496" i="1"/>
  <c r="AP495" i="1"/>
  <c r="L495" i="1"/>
  <c r="K495" i="1"/>
  <c r="E495" i="1"/>
  <c r="F495" i="1"/>
  <c r="AP493" i="1"/>
  <c r="E493" i="1"/>
  <c r="AP492" i="1"/>
  <c r="E492" i="1"/>
  <c r="AP491" i="1"/>
  <c r="E491" i="1"/>
  <c r="AP490" i="1"/>
  <c r="E490" i="1"/>
  <c r="AP489" i="1"/>
  <c r="E489" i="1"/>
  <c r="AP488" i="1"/>
  <c r="E488" i="1"/>
  <c r="AP487" i="1"/>
  <c r="E487" i="1"/>
  <c r="E485" i="1"/>
  <c r="AP484" i="1"/>
  <c r="K484" i="1"/>
  <c r="K483" i="1" s="1"/>
  <c r="L483" i="1"/>
  <c r="E484" i="1"/>
  <c r="F484" i="1"/>
  <c r="F483" i="1" s="1"/>
  <c r="AP482" i="1"/>
  <c r="E482" i="1"/>
  <c r="AP481" i="1"/>
  <c r="K481" i="1"/>
  <c r="E481" i="1"/>
  <c r="G481" i="1"/>
  <c r="AP480" i="1"/>
  <c r="E480" i="1"/>
  <c r="F480" i="1"/>
  <c r="AP478" i="1"/>
  <c r="E478" i="1"/>
  <c r="AP477" i="1"/>
  <c r="K477" i="1"/>
  <c r="G477" i="1"/>
  <c r="E477" i="1"/>
  <c r="F477" i="1"/>
  <c r="AP476" i="1"/>
  <c r="E476" i="1"/>
  <c r="M476" i="1"/>
  <c r="AP474" i="1"/>
  <c r="E474" i="1"/>
  <c r="AP473" i="1"/>
  <c r="K473" i="1"/>
  <c r="E473" i="1"/>
  <c r="G473" i="1"/>
  <c r="AP472" i="1"/>
  <c r="L472" i="1"/>
  <c r="K472" i="1"/>
  <c r="E472" i="1"/>
  <c r="AP470" i="1"/>
  <c r="E470" i="1"/>
  <c r="AP469" i="1"/>
  <c r="E469" i="1"/>
  <c r="AP468" i="1"/>
  <c r="E468" i="1"/>
  <c r="G468" i="1"/>
  <c r="AP466" i="1"/>
  <c r="E466" i="1"/>
  <c r="AP465" i="1"/>
  <c r="AN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L465" i="1"/>
  <c r="E465" i="1"/>
  <c r="F465" i="1"/>
  <c r="AP464" i="1"/>
  <c r="AN464" i="1"/>
  <c r="AN466" i="1" s="1"/>
  <c r="AJ464" i="1"/>
  <c r="AJ466" i="1" s="1"/>
  <c r="AI464" i="1"/>
  <c r="AI466" i="1" s="1"/>
  <c r="AH464" i="1"/>
  <c r="AH466" i="1" s="1"/>
  <c r="AG464" i="1"/>
  <c r="AF464" i="1"/>
  <c r="AF466" i="1" s="1"/>
  <c r="AE464" i="1"/>
  <c r="AE466" i="1" s="1"/>
  <c r="AD464" i="1"/>
  <c r="AD466" i="1" s="1"/>
  <c r="AC464" i="1"/>
  <c r="AB464" i="1"/>
  <c r="AB466" i="1" s="1"/>
  <c r="AA464" i="1"/>
  <c r="AA466" i="1" s="1"/>
  <c r="Z464" i="1"/>
  <c r="Z466" i="1" s="1"/>
  <c r="Y464" i="1"/>
  <c r="Y466" i="1" s="1"/>
  <c r="X464" i="1"/>
  <c r="X466" i="1" s="1"/>
  <c r="W464" i="1"/>
  <c r="W466" i="1" s="1"/>
  <c r="V466" i="1"/>
  <c r="U466" i="1"/>
  <c r="T466" i="1"/>
  <c r="S466" i="1"/>
  <c r="R466" i="1"/>
  <c r="E464" i="1"/>
  <c r="M466" i="1"/>
  <c r="AP462" i="1"/>
  <c r="E462" i="1"/>
  <c r="AP461" i="1"/>
  <c r="E461" i="1"/>
  <c r="AP460" i="1"/>
  <c r="K460" i="1"/>
  <c r="L460" i="1"/>
  <c r="E460" i="1"/>
  <c r="F460" i="1"/>
  <c r="AP458" i="1"/>
  <c r="L458" i="1"/>
  <c r="E458" i="1"/>
  <c r="F458" i="1"/>
  <c r="F457" i="1" s="1"/>
  <c r="AP456" i="1"/>
  <c r="E456" i="1"/>
  <c r="AP455" i="1"/>
  <c r="E455" i="1"/>
  <c r="AP454" i="1"/>
  <c r="E454" i="1"/>
  <c r="AP453" i="1"/>
  <c r="E453" i="1"/>
  <c r="AP452" i="1"/>
  <c r="E452" i="1"/>
  <c r="AP451" i="1"/>
  <c r="E451" i="1"/>
  <c r="AP450" i="1"/>
  <c r="E450" i="1"/>
  <c r="AP448" i="1"/>
  <c r="E448" i="1"/>
  <c r="AP447" i="1"/>
  <c r="E447" i="1"/>
  <c r="AP446" i="1"/>
  <c r="E446" i="1"/>
  <c r="AP445" i="1"/>
  <c r="E445" i="1"/>
  <c r="AP444" i="1"/>
  <c r="E444" i="1"/>
  <c r="AP443" i="1"/>
  <c r="E443" i="1"/>
  <c r="AP442" i="1"/>
  <c r="F442" i="1"/>
  <c r="E442" i="1"/>
  <c r="E440" i="1"/>
  <c r="AP438" i="1"/>
  <c r="E438" i="1"/>
  <c r="AP436" i="1"/>
  <c r="E436" i="1"/>
  <c r="AP435" i="1"/>
  <c r="E435" i="1"/>
  <c r="AP434" i="1"/>
  <c r="E434" i="1"/>
  <c r="AP433" i="1"/>
  <c r="E433" i="1"/>
  <c r="AP432" i="1"/>
  <c r="E432" i="1"/>
  <c r="AP431" i="1"/>
  <c r="E431" i="1"/>
  <c r="AP430" i="1"/>
  <c r="E430" i="1"/>
  <c r="AP428" i="1"/>
  <c r="E428" i="1"/>
  <c r="AP427" i="1"/>
  <c r="E427" i="1"/>
  <c r="AP426" i="1"/>
  <c r="E426" i="1"/>
  <c r="AP425" i="1"/>
  <c r="E425" i="1"/>
  <c r="AP424" i="1"/>
  <c r="E424" i="1"/>
  <c r="AP423" i="1"/>
  <c r="E423" i="1"/>
  <c r="AP422" i="1"/>
  <c r="E422" i="1"/>
  <c r="G422" i="1"/>
  <c r="AP420" i="1"/>
  <c r="E420" i="1"/>
  <c r="AP419" i="1"/>
  <c r="E419" i="1"/>
  <c r="AP418" i="1"/>
  <c r="E418" i="1"/>
  <c r="AP417" i="1"/>
  <c r="E417" i="1"/>
  <c r="AP416" i="1"/>
  <c r="E416" i="1"/>
  <c r="AP415" i="1"/>
  <c r="E415" i="1"/>
  <c r="AP414" i="1"/>
  <c r="E414" i="1"/>
  <c r="E412" i="1"/>
  <c r="AP410" i="1"/>
  <c r="E410" i="1"/>
  <c r="AP409" i="1"/>
  <c r="E409" i="1"/>
  <c r="AP408" i="1"/>
  <c r="E408" i="1"/>
  <c r="AP407" i="1"/>
  <c r="E407" i="1"/>
  <c r="AP406" i="1"/>
  <c r="E406" i="1"/>
  <c r="AP405" i="1"/>
  <c r="E405" i="1"/>
  <c r="AP404" i="1"/>
  <c r="L404" i="1"/>
  <c r="E404" i="1"/>
  <c r="F404" i="1"/>
  <c r="AP402" i="1"/>
  <c r="E402" i="1"/>
  <c r="AP401" i="1"/>
  <c r="E401" i="1"/>
  <c r="AP400" i="1"/>
  <c r="E400" i="1"/>
  <c r="AP399" i="1"/>
  <c r="E399" i="1"/>
  <c r="AP398" i="1"/>
  <c r="E398" i="1"/>
  <c r="AP397" i="1"/>
  <c r="E397" i="1"/>
  <c r="AP396" i="1"/>
  <c r="K396" i="1"/>
  <c r="E396" i="1"/>
  <c r="F396" i="1"/>
  <c r="E394" i="1"/>
  <c r="AP392" i="1"/>
  <c r="E392" i="1"/>
  <c r="AP391" i="1"/>
  <c r="E391" i="1"/>
  <c r="AP390" i="1"/>
  <c r="E390" i="1"/>
  <c r="AP389" i="1"/>
  <c r="E389" i="1"/>
  <c r="AP388" i="1"/>
  <c r="E388" i="1"/>
  <c r="AP387" i="1"/>
  <c r="E387" i="1"/>
  <c r="AP386" i="1"/>
  <c r="E386" i="1"/>
  <c r="F386" i="1"/>
  <c r="AP384" i="1"/>
  <c r="E384" i="1"/>
  <c r="AP383" i="1"/>
  <c r="E383" i="1"/>
  <c r="AP382" i="1"/>
  <c r="E382" i="1"/>
  <c r="AP381" i="1"/>
  <c r="E381" i="1"/>
  <c r="AP380" i="1"/>
  <c r="E380" i="1"/>
  <c r="AP379" i="1"/>
  <c r="E379" i="1"/>
  <c r="AP378" i="1"/>
  <c r="E378" i="1"/>
  <c r="F379" i="1"/>
  <c r="E376" i="1"/>
  <c r="AP374" i="1"/>
  <c r="E374" i="1"/>
  <c r="AP373" i="1"/>
  <c r="E373" i="1"/>
  <c r="AP372" i="1"/>
  <c r="E372" i="1"/>
  <c r="AP371" i="1"/>
  <c r="E371" i="1"/>
  <c r="AP370" i="1"/>
  <c r="K370" i="1"/>
  <c r="E370" i="1"/>
  <c r="AP369" i="1"/>
  <c r="E369" i="1"/>
  <c r="AP368" i="1"/>
  <c r="K368" i="1"/>
  <c r="E368" i="1"/>
  <c r="E366" i="1"/>
  <c r="AP365" i="1"/>
  <c r="E365" i="1"/>
  <c r="AP364" i="1"/>
  <c r="E364" i="1"/>
  <c r="AP363" i="1"/>
  <c r="E363" i="1"/>
  <c r="AP362" i="1"/>
  <c r="E362" i="1"/>
  <c r="AP361" i="1"/>
  <c r="E361" i="1"/>
  <c r="AP360" i="1"/>
  <c r="E360" i="1"/>
  <c r="AP359" i="1"/>
  <c r="E359" i="1"/>
  <c r="F359" i="1"/>
  <c r="AP357" i="1"/>
  <c r="E357" i="1"/>
  <c r="AP355" i="1"/>
  <c r="E355" i="1"/>
  <c r="AP354" i="1"/>
  <c r="AN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K354" i="1"/>
  <c r="E354" i="1"/>
  <c r="F354" i="1"/>
  <c r="AP353" i="1"/>
  <c r="AN353" i="1"/>
  <c r="AN355" i="1" s="1"/>
  <c r="AJ353" i="1"/>
  <c r="AJ355" i="1" s="1"/>
  <c r="AI353" i="1"/>
  <c r="AI355" i="1" s="1"/>
  <c r="AH353" i="1"/>
  <c r="AH355" i="1" s="1"/>
  <c r="AG353" i="1"/>
  <c r="AG355" i="1" s="1"/>
  <c r="AF353" i="1"/>
  <c r="AF355" i="1" s="1"/>
  <c r="AE353" i="1"/>
  <c r="AE355" i="1" s="1"/>
  <c r="AD353" i="1"/>
  <c r="AD355" i="1" s="1"/>
  <c r="AC353" i="1"/>
  <c r="AB353" i="1"/>
  <c r="AB355" i="1" s="1"/>
  <c r="AA353" i="1"/>
  <c r="AA355" i="1" s="1"/>
  <c r="Z353" i="1"/>
  <c r="Z355" i="1" s="1"/>
  <c r="Y353" i="1"/>
  <c r="Y355" i="1" s="1"/>
  <c r="X353" i="1"/>
  <c r="X355" i="1" s="1"/>
  <c r="W353" i="1"/>
  <c r="W355" i="1" s="1"/>
  <c r="V355" i="1"/>
  <c r="U355" i="1"/>
  <c r="T355" i="1"/>
  <c r="S355" i="1"/>
  <c r="R355" i="1"/>
  <c r="E353" i="1"/>
  <c r="AP351" i="1"/>
  <c r="E351" i="1"/>
  <c r="AP350" i="1"/>
  <c r="E350" i="1"/>
  <c r="AP348" i="1"/>
  <c r="E348" i="1"/>
  <c r="AP347" i="1"/>
  <c r="K347" i="1"/>
  <c r="E347" i="1"/>
  <c r="G347" i="1"/>
  <c r="AP346" i="1"/>
  <c r="E346" i="1"/>
  <c r="G346" i="1"/>
  <c r="AP344" i="1"/>
  <c r="E344" i="1"/>
  <c r="AP343" i="1"/>
  <c r="E343" i="1"/>
  <c r="AP342" i="1"/>
  <c r="E342" i="1"/>
  <c r="AP341" i="1"/>
  <c r="E341" i="1"/>
  <c r="AP340" i="1"/>
  <c r="E340" i="1"/>
  <c r="AP339" i="1"/>
  <c r="E339" i="1"/>
  <c r="AP338" i="1"/>
  <c r="E338" i="1"/>
  <c r="AP336" i="1"/>
  <c r="E336" i="1"/>
  <c r="AP335" i="1"/>
  <c r="E335" i="1"/>
  <c r="AP334" i="1"/>
  <c r="E334" i="1"/>
  <c r="AP333" i="1"/>
  <c r="E333" i="1"/>
  <c r="AP332" i="1"/>
  <c r="E332" i="1"/>
  <c r="AP331" i="1"/>
  <c r="E331" i="1"/>
  <c r="AP330" i="1"/>
  <c r="E330" i="1"/>
  <c r="E328" i="1"/>
  <c r="AP325" i="1"/>
  <c r="E325" i="1"/>
  <c r="AP324" i="1"/>
  <c r="E324" i="1"/>
  <c r="F324" i="1"/>
  <c r="AP323" i="1"/>
  <c r="E323" i="1"/>
  <c r="F323" i="1"/>
  <c r="AP321" i="1"/>
  <c r="E321" i="1"/>
  <c r="AP320" i="1"/>
  <c r="E320" i="1"/>
  <c r="AP319" i="1"/>
  <c r="E319" i="1"/>
  <c r="AP318" i="1"/>
  <c r="E318" i="1"/>
  <c r="AP317" i="1"/>
  <c r="E317" i="1"/>
  <c r="AP316" i="1"/>
  <c r="E316" i="1"/>
  <c r="AP315" i="1"/>
  <c r="E315" i="1"/>
  <c r="AP313" i="1"/>
  <c r="E313" i="1"/>
  <c r="AP312" i="1"/>
  <c r="E312" i="1"/>
  <c r="AP311" i="1"/>
  <c r="E311" i="1"/>
  <c r="AP310" i="1"/>
  <c r="E310" i="1"/>
  <c r="AP309" i="1"/>
  <c r="E309" i="1"/>
  <c r="AP308" i="1"/>
  <c r="E308" i="1"/>
  <c r="AP307" i="1"/>
  <c r="L307" i="1"/>
  <c r="E307" i="1"/>
  <c r="E305" i="1"/>
  <c r="AP303" i="1"/>
  <c r="E303" i="1"/>
  <c r="AP302" i="1"/>
  <c r="E302" i="1"/>
  <c r="AP301" i="1"/>
  <c r="E301" i="1"/>
  <c r="AP300" i="1"/>
  <c r="E300" i="1"/>
  <c r="AP299" i="1"/>
  <c r="E299" i="1"/>
  <c r="AP298" i="1"/>
  <c r="E298" i="1"/>
  <c r="AP297" i="1"/>
  <c r="K297" i="1"/>
  <c r="E297" i="1"/>
  <c r="F297" i="1"/>
  <c r="L297" i="1" s="1"/>
  <c r="AP295" i="1"/>
  <c r="E295" i="1"/>
  <c r="AP294" i="1"/>
  <c r="E294" i="1"/>
  <c r="AP293" i="1"/>
  <c r="E293" i="1"/>
  <c r="AP292" i="1"/>
  <c r="E292" i="1"/>
  <c r="AP291" i="1"/>
  <c r="E291" i="1"/>
  <c r="AP290" i="1"/>
  <c r="E290" i="1"/>
  <c r="AP289" i="1"/>
  <c r="E289" i="1"/>
  <c r="M289" i="1"/>
  <c r="M288" i="1" s="1"/>
  <c r="AP287" i="1"/>
  <c r="E287" i="1"/>
  <c r="AP286" i="1"/>
  <c r="E286" i="1"/>
  <c r="AP285" i="1"/>
  <c r="E285" i="1"/>
  <c r="AP284" i="1"/>
  <c r="E284" i="1"/>
  <c r="AP283" i="1"/>
  <c r="E283" i="1"/>
  <c r="AP282" i="1"/>
  <c r="E282" i="1"/>
  <c r="AP281" i="1"/>
  <c r="E281" i="1"/>
  <c r="AP279" i="1"/>
  <c r="E279" i="1"/>
  <c r="AP278" i="1"/>
  <c r="E278" i="1"/>
  <c r="AP277" i="1"/>
  <c r="Q277" i="1"/>
  <c r="E277" i="1"/>
  <c r="AP276" i="1"/>
  <c r="Q276" i="1"/>
  <c r="O276" i="1"/>
  <c r="E276" i="1"/>
  <c r="AP275" i="1"/>
  <c r="E275" i="1"/>
  <c r="AP274" i="1"/>
  <c r="E274" i="1"/>
  <c r="AP273" i="1"/>
  <c r="E273" i="1"/>
  <c r="G273" i="1"/>
  <c r="E271" i="1"/>
  <c r="AP269" i="1"/>
  <c r="E269" i="1"/>
  <c r="AP268" i="1"/>
  <c r="L268" i="1"/>
  <c r="E268" i="1"/>
  <c r="AP267" i="1"/>
  <c r="E267" i="1"/>
  <c r="AP265" i="1"/>
  <c r="E265" i="1"/>
  <c r="AP264" i="1"/>
  <c r="E264" i="1"/>
  <c r="F264" i="1"/>
  <c r="AP263" i="1"/>
  <c r="E263" i="1"/>
  <c r="AP261" i="1"/>
  <c r="E261" i="1"/>
  <c r="AP260" i="1"/>
  <c r="E260" i="1"/>
  <c r="AP259" i="1"/>
  <c r="E259" i="1"/>
  <c r="F259" i="1"/>
  <c r="AP257" i="1"/>
  <c r="E257" i="1"/>
  <c r="AP256" i="1"/>
  <c r="E256" i="1"/>
  <c r="AP255" i="1"/>
  <c r="E255" i="1"/>
  <c r="AP254" i="1"/>
  <c r="E254" i="1"/>
  <c r="AP253" i="1"/>
  <c r="E253" i="1"/>
  <c r="AP252" i="1"/>
  <c r="E252" i="1"/>
  <c r="AP251" i="1"/>
  <c r="E251" i="1"/>
  <c r="AP249" i="1"/>
  <c r="E249" i="1"/>
  <c r="AP248" i="1"/>
  <c r="E248" i="1"/>
  <c r="AP247" i="1"/>
  <c r="E247" i="1"/>
  <c r="AP246" i="1"/>
  <c r="E246" i="1"/>
  <c r="AP245" i="1"/>
  <c r="E245" i="1"/>
  <c r="AP244" i="1"/>
  <c r="E244" i="1"/>
  <c r="AP243" i="1"/>
  <c r="E243" i="1"/>
  <c r="E241" i="1"/>
  <c r="AP239" i="1"/>
  <c r="E239" i="1"/>
  <c r="AP238" i="1"/>
  <c r="E238" i="1"/>
  <c r="AP237" i="1"/>
  <c r="K237" i="1"/>
  <c r="E237" i="1"/>
  <c r="M237" i="1"/>
  <c r="M236" i="1" s="1"/>
  <c r="AP235" i="1"/>
  <c r="E235" i="1"/>
  <c r="AP234" i="1"/>
  <c r="E234" i="1"/>
  <c r="AP233" i="1"/>
  <c r="E233" i="1"/>
  <c r="AP231" i="1"/>
  <c r="E231" i="1"/>
  <c r="AP230" i="1"/>
  <c r="L230" i="1"/>
  <c r="K230" i="1"/>
  <c r="E230" i="1"/>
  <c r="AP229" i="1"/>
  <c r="E229" i="1"/>
  <c r="AP227" i="1"/>
  <c r="E227" i="1"/>
  <c r="AP226" i="1"/>
  <c r="E226" i="1"/>
  <c r="AP225" i="1"/>
  <c r="E225" i="1"/>
  <c r="AP223" i="1"/>
  <c r="E223" i="1"/>
  <c r="AP222" i="1"/>
  <c r="E222" i="1"/>
  <c r="AP221" i="1"/>
  <c r="E221" i="1"/>
  <c r="AP220" i="1"/>
  <c r="E220" i="1"/>
  <c r="AP219" i="1"/>
  <c r="E219" i="1"/>
  <c r="AP218" i="1"/>
  <c r="E218" i="1"/>
  <c r="AP217" i="1"/>
  <c r="E217" i="1"/>
  <c r="G217" i="1"/>
  <c r="AP215" i="1"/>
  <c r="E215" i="1"/>
  <c r="AP214" i="1"/>
  <c r="E214" i="1"/>
  <c r="AP213" i="1"/>
  <c r="E213" i="1"/>
  <c r="AP212" i="1"/>
  <c r="E212" i="1"/>
  <c r="AP211" i="1"/>
  <c r="E211" i="1"/>
  <c r="AP210" i="1"/>
  <c r="E210" i="1"/>
  <c r="AP209" i="1"/>
  <c r="E209" i="1"/>
  <c r="AP207" i="1"/>
  <c r="E207" i="1"/>
  <c r="AP206" i="1"/>
  <c r="E206" i="1"/>
  <c r="AP205" i="1"/>
  <c r="E205" i="1"/>
  <c r="AP204" i="1"/>
  <c r="E204" i="1"/>
  <c r="AP203" i="1"/>
  <c r="E203" i="1"/>
  <c r="AP202" i="1"/>
  <c r="E202" i="1"/>
  <c r="AP201" i="1"/>
  <c r="E201" i="1"/>
  <c r="AP199" i="1"/>
  <c r="E199" i="1"/>
  <c r="AP198" i="1"/>
  <c r="E198" i="1"/>
  <c r="AP197" i="1"/>
  <c r="E197" i="1"/>
  <c r="AP196" i="1"/>
  <c r="E196" i="1"/>
  <c r="AP195" i="1"/>
  <c r="E195" i="1"/>
  <c r="AP194" i="1"/>
  <c r="E194" i="1"/>
  <c r="AP193" i="1"/>
  <c r="E193" i="1"/>
  <c r="AP191" i="1"/>
  <c r="E191" i="1"/>
  <c r="AP190" i="1"/>
  <c r="E190" i="1"/>
  <c r="AP189" i="1"/>
  <c r="E189" i="1"/>
  <c r="AP188" i="1"/>
  <c r="E188" i="1"/>
  <c r="AP187" i="1"/>
  <c r="E187" i="1"/>
  <c r="AP186" i="1"/>
  <c r="E186" i="1"/>
  <c r="AP185" i="1"/>
  <c r="E185" i="1"/>
  <c r="AP183" i="1"/>
  <c r="E183" i="1"/>
  <c r="AP182" i="1"/>
  <c r="E182" i="1"/>
  <c r="AP181" i="1"/>
  <c r="E181" i="1"/>
  <c r="AP180" i="1"/>
  <c r="E180" i="1"/>
  <c r="AP179" i="1"/>
  <c r="E179" i="1"/>
  <c r="AP178" i="1"/>
  <c r="E178" i="1"/>
  <c r="AP177" i="1"/>
  <c r="E177" i="1"/>
  <c r="G177" i="1"/>
  <c r="AP175" i="1"/>
  <c r="E175" i="1"/>
  <c r="AP174" i="1"/>
  <c r="E174" i="1"/>
  <c r="AP173" i="1"/>
  <c r="E173" i="1"/>
  <c r="AP172" i="1"/>
  <c r="E172" i="1"/>
  <c r="AP171" i="1"/>
  <c r="E171" i="1"/>
  <c r="AP170" i="1"/>
  <c r="E170" i="1"/>
  <c r="AP169" i="1"/>
  <c r="E169" i="1"/>
  <c r="E167" i="1"/>
  <c r="AP165" i="1"/>
  <c r="E165" i="1"/>
  <c r="AP164" i="1"/>
  <c r="L164" i="1"/>
  <c r="E164" i="1"/>
  <c r="G164" i="1"/>
  <c r="AP163" i="1"/>
  <c r="E163" i="1"/>
  <c r="F163" i="1"/>
  <c r="AP161" i="1"/>
  <c r="E161" i="1"/>
  <c r="AP160" i="1"/>
  <c r="E160" i="1"/>
  <c r="AP159" i="1"/>
  <c r="E159" i="1"/>
  <c r="AP157" i="1"/>
  <c r="E157" i="1"/>
  <c r="AP156" i="1"/>
  <c r="E156" i="1"/>
  <c r="AP155" i="1"/>
  <c r="E155" i="1"/>
  <c r="AP154" i="1"/>
  <c r="E154" i="1"/>
  <c r="AP153" i="1"/>
  <c r="E153" i="1"/>
  <c r="AP152" i="1"/>
  <c r="E152" i="1"/>
  <c r="AP151" i="1"/>
  <c r="E151" i="1"/>
  <c r="AP149" i="1"/>
  <c r="E149" i="1"/>
  <c r="AP148" i="1"/>
  <c r="E148" i="1"/>
  <c r="AP147" i="1"/>
  <c r="E147" i="1"/>
  <c r="AP146" i="1"/>
  <c r="E146" i="1"/>
  <c r="AP145" i="1"/>
  <c r="E145" i="1"/>
  <c r="AP144" i="1"/>
  <c r="E144" i="1"/>
  <c r="AP143" i="1"/>
  <c r="E143" i="1"/>
  <c r="F143" i="1"/>
  <c r="AP141" i="1"/>
  <c r="E141" i="1"/>
  <c r="AP140" i="1"/>
  <c r="E140" i="1"/>
  <c r="AP139" i="1"/>
  <c r="E139" i="1"/>
  <c r="AP138" i="1"/>
  <c r="E138" i="1"/>
  <c r="AP137" i="1"/>
  <c r="E137" i="1"/>
  <c r="AP136" i="1"/>
  <c r="E136" i="1"/>
  <c r="AP135" i="1"/>
  <c r="E135" i="1"/>
  <c r="AP133" i="1"/>
  <c r="E133" i="1"/>
  <c r="AP132" i="1"/>
  <c r="E132" i="1"/>
  <c r="AP131" i="1"/>
  <c r="E131" i="1"/>
  <c r="AP130" i="1"/>
  <c r="E130" i="1"/>
  <c r="AP129" i="1"/>
  <c r="E129" i="1"/>
  <c r="AP128" i="1"/>
  <c r="E128" i="1"/>
  <c r="AP127" i="1"/>
  <c r="E127" i="1"/>
  <c r="E125" i="1"/>
  <c r="AP123" i="1"/>
  <c r="E123" i="1"/>
  <c r="AP122" i="1"/>
  <c r="E122" i="1"/>
  <c r="AP121" i="1"/>
  <c r="E121" i="1"/>
  <c r="AP120" i="1"/>
  <c r="E120" i="1"/>
  <c r="AP119" i="1"/>
  <c r="E119" i="1"/>
  <c r="AP118" i="1"/>
  <c r="E118" i="1"/>
  <c r="AP117" i="1"/>
  <c r="E117" i="1"/>
  <c r="AP115" i="1"/>
  <c r="E115" i="1"/>
  <c r="AP114" i="1"/>
  <c r="E114" i="1"/>
  <c r="AP113" i="1"/>
  <c r="E113" i="1"/>
  <c r="AP112" i="1"/>
  <c r="E112" i="1"/>
  <c r="AP111" i="1"/>
  <c r="E111" i="1"/>
  <c r="AP110" i="1"/>
  <c r="E110" i="1"/>
  <c r="AP109" i="1"/>
  <c r="E109" i="1"/>
  <c r="AP107" i="1"/>
  <c r="E107" i="1"/>
  <c r="AP106" i="1"/>
  <c r="E106" i="1"/>
  <c r="AP105" i="1"/>
  <c r="E105" i="1"/>
  <c r="AP104" i="1"/>
  <c r="E104" i="1"/>
  <c r="AP103" i="1"/>
  <c r="E103" i="1"/>
  <c r="AP102" i="1"/>
  <c r="E102" i="1"/>
  <c r="AP101" i="1"/>
  <c r="K101" i="1"/>
  <c r="E101" i="1"/>
  <c r="AP99" i="1"/>
  <c r="AN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E99" i="1"/>
  <c r="AP98" i="1"/>
  <c r="E98" i="1"/>
  <c r="AP97" i="1"/>
  <c r="E97" i="1"/>
  <c r="AP96" i="1"/>
  <c r="E96" i="1"/>
  <c r="AP95" i="1"/>
  <c r="E95" i="1"/>
  <c r="AP94" i="1"/>
  <c r="E94" i="1"/>
  <c r="AP93" i="1"/>
  <c r="K93" i="1"/>
  <c r="E93" i="1"/>
  <c r="F93" i="1"/>
  <c r="AP91" i="1"/>
  <c r="E91" i="1"/>
  <c r="AP90" i="1"/>
  <c r="E90" i="1"/>
  <c r="AP89" i="1"/>
  <c r="E89" i="1"/>
  <c r="AP88" i="1"/>
  <c r="E88" i="1"/>
  <c r="AP87" i="1"/>
  <c r="E87" i="1"/>
  <c r="AP86" i="1"/>
  <c r="E86" i="1"/>
  <c r="AP85" i="1"/>
  <c r="L85" i="1"/>
  <c r="E85" i="1"/>
  <c r="G85" i="1"/>
  <c r="E83" i="1"/>
  <c r="AP82" i="1"/>
  <c r="K82" i="1"/>
  <c r="K81" i="1" s="1"/>
  <c r="E82" i="1"/>
  <c r="M82" i="1"/>
  <c r="AP80" i="1"/>
  <c r="AN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K80" i="1"/>
  <c r="K79" i="1" s="1"/>
  <c r="E80" i="1"/>
  <c r="G80" i="1"/>
  <c r="G79" i="1" s="1"/>
  <c r="AP78" i="1"/>
  <c r="E78" i="1"/>
  <c r="AP77" i="1"/>
  <c r="E77" i="1"/>
  <c r="AP76" i="1"/>
  <c r="E76" i="1"/>
  <c r="AP75" i="1"/>
  <c r="E75" i="1"/>
  <c r="AP74" i="1"/>
  <c r="E74" i="1"/>
  <c r="AP73" i="1"/>
  <c r="E73" i="1"/>
  <c r="AP72" i="1"/>
  <c r="E72" i="1"/>
  <c r="AP70" i="1"/>
  <c r="E70" i="1"/>
  <c r="AP69" i="1"/>
  <c r="E69" i="1"/>
  <c r="AP68" i="1"/>
  <c r="E68" i="1"/>
  <c r="AP66" i="1"/>
  <c r="E66" i="1"/>
  <c r="AP65" i="1"/>
  <c r="E65" i="1"/>
  <c r="AP64" i="1"/>
  <c r="G64" i="1"/>
  <c r="E64" i="1"/>
  <c r="AP62" i="1"/>
  <c r="E62" i="1"/>
  <c r="AP61" i="1"/>
  <c r="AQ61" i="1" s="1"/>
  <c r="E61" i="1"/>
  <c r="AP60" i="1"/>
  <c r="AQ60" i="1" s="1"/>
  <c r="E60" i="1"/>
  <c r="AP59" i="1"/>
  <c r="AQ59" i="1" s="1"/>
  <c r="E59" i="1"/>
  <c r="AP58" i="1"/>
  <c r="AQ58" i="1" s="1"/>
  <c r="E58" i="1"/>
  <c r="AP57" i="1"/>
  <c r="AR57" i="1" s="1"/>
  <c r="E57" i="1"/>
  <c r="AP56" i="1"/>
  <c r="AR56" i="1" s="1"/>
  <c r="E56" i="1"/>
  <c r="AP54" i="1"/>
  <c r="E54" i="1"/>
  <c r="AP53" i="1"/>
  <c r="E53" i="1"/>
  <c r="AP52" i="1"/>
  <c r="R52" i="1"/>
  <c r="E52" i="1"/>
  <c r="AP51" i="1"/>
  <c r="E51" i="1"/>
  <c r="AP50" i="1"/>
  <c r="E50" i="1"/>
  <c r="AP49" i="1"/>
  <c r="E49" i="1"/>
  <c r="AP48" i="1"/>
  <c r="E48" i="1"/>
  <c r="E46" i="1"/>
  <c r="AP44" i="1"/>
  <c r="E44" i="1"/>
  <c r="AP43" i="1"/>
  <c r="E43" i="1"/>
  <c r="AP42" i="1"/>
  <c r="E42" i="1"/>
  <c r="AP40" i="1"/>
  <c r="E40" i="1"/>
  <c r="AP39" i="1"/>
  <c r="E39" i="1"/>
  <c r="AP38" i="1"/>
  <c r="E38" i="1"/>
  <c r="AP37" i="1"/>
  <c r="E37" i="1"/>
  <c r="AP36" i="1"/>
  <c r="E36" i="1"/>
  <c r="AP35" i="1"/>
  <c r="E35" i="1"/>
  <c r="AP34" i="1"/>
  <c r="K34" i="1"/>
  <c r="E34" i="1"/>
  <c r="AP32" i="1"/>
  <c r="E32" i="1"/>
  <c r="AP31" i="1"/>
  <c r="E31" i="1"/>
  <c r="AP30" i="1"/>
  <c r="E30" i="1"/>
  <c r="AP29" i="1"/>
  <c r="E29" i="1"/>
  <c r="AP28" i="1"/>
  <c r="E28" i="1"/>
  <c r="AP27" i="1"/>
  <c r="E27" i="1"/>
  <c r="AP26" i="1"/>
  <c r="F26" i="1"/>
  <c r="E26" i="1"/>
  <c r="AP24" i="1"/>
  <c r="E24" i="1"/>
  <c r="AP23" i="1"/>
  <c r="E23" i="1"/>
  <c r="AP22" i="1"/>
  <c r="E22" i="1"/>
  <c r="AP21" i="1"/>
  <c r="E21" i="1"/>
  <c r="AP20" i="1"/>
  <c r="E20" i="1"/>
  <c r="AP19" i="1"/>
  <c r="E19" i="1"/>
  <c r="AP18" i="1"/>
  <c r="L18" i="1"/>
  <c r="E18" i="1"/>
  <c r="G18" i="1"/>
  <c r="AP16" i="1"/>
  <c r="E16" i="1"/>
  <c r="AP15" i="1"/>
  <c r="E15" i="1"/>
  <c r="AP14" i="1"/>
  <c r="E14" i="1"/>
  <c r="AP13" i="1"/>
  <c r="E13" i="1"/>
  <c r="AP12" i="1"/>
  <c r="E12" i="1"/>
  <c r="AP11" i="1"/>
  <c r="E11" i="1"/>
  <c r="AP10" i="1"/>
  <c r="K10" i="1"/>
  <c r="E10" i="1"/>
  <c r="F10" i="1"/>
  <c r="E8" i="1"/>
  <c r="AC825" i="1" l="1"/>
  <c r="J944" i="1"/>
  <c r="J83" i="1"/>
  <c r="Q58" i="2"/>
  <c r="V27" i="2"/>
  <c r="T27" i="2"/>
  <c r="Y28" i="2"/>
  <c r="H655" i="1"/>
  <c r="H654" i="1" s="1"/>
  <c r="J635" i="1"/>
  <c r="J634" i="1" s="1"/>
  <c r="H8" i="1"/>
  <c r="H7" i="1" s="1"/>
  <c r="J46" i="1"/>
  <c r="H552" i="1"/>
  <c r="H551" i="1" s="1"/>
  <c r="H820" i="1"/>
  <c r="J889" i="1"/>
  <c r="J888" i="1" s="1"/>
  <c r="J887" i="1" s="1"/>
  <c r="K25" i="2"/>
  <c r="K13" i="2" s="1"/>
  <c r="K39" i="2" s="1"/>
  <c r="J25" i="2"/>
  <c r="N25" i="2"/>
  <c r="S28" i="2"/>
  <c r="U28" i="2"/>
  <c r="M25" i="2"/>
  <c r="R27" i="2"/>
  <c r="C25" i="2"/>
  <c r="C13" i="2" s="1"/>
  <c r="C39" i="2" s="1"/>
  <c r="O25" i="2"/>
  <c r="R30" i="2"/>
  <c r="H54" i="2"/>
  <c r="P54" i="2"/>
  <c r="P55" i="2" s="1"/>
  <c r="P56" i="2" s="1"/>
  <c r="I54" i="2"/>
  <c r="K54" i="2"/>
  <c r="K55" i="2" s="1"/>
  <c r="K56" i="2" s="1"/>
  <c r="P14" i="2"/>
  <c r="P13" i="2" s="1"/>
  <c r="P39" i="2" s="1"/>
  <c r="J14" i="2"/>
  <c r="J44" i="2" s="1"/>
  <c r="K14" i="2"/>
  <c r="K44" i="2" s="1"/>
  <c r="B14" i="2"/>
  <c r="B44" i="2" s="1"/>
  <c r="R10" i="2"/>
  <c r="T12" i="2"/>
  <c r="R8" i="2"/>
  <c r="S10" i="2"/>
  <c r="T10" i="2"/>
  <c r="T8" i="2"/>
  <c r="S48" i="2"/>
  <c r="R7" i="2"/>
  <c r="Q55" i="2"/>
  <c r="T7" i="2"/>
  <c r="S9" i="2"/>
  <c r="R12" i="2"/>
  <c r="T6" i="2"/>
  <c r="U6" i="2"/>
  <c r="V6" i="2"/>
  <c r="S6" i="2"/>
  <c r="R6" i="2"/>
  <c r="T4" i="2"/>
  <c r="U4" i="2"/>
  <c r="V4" i="2"/>
  <c r="R4" i="2"/>
  <c r="S4" i="2"/>
  <c r="R5" i="2"/>
  <c r="S5" i="2"/>
  <c r="T5" i="2"/>
  <c r="U5" i="2"/>
  <c r="Z5" i="2"/>
  <c r="O3" i="2"/>
  <c r="O2" i="2" s="1"/>
  <c r="Z6" i="2"/>
  <c r="G55" i="2"/>
  <c r="G56" i="2" s="1"/>
  <c r="F54" i="2"/>
  <c r="F16" i="2"/>
  <c r="F14" i="2" s="1"/>
  <c r="N55" i="2"/>
  <c r="N56" i="2" s="1"/>
  <c r="E19" i="2"/>
  <c r="Q20" i="2"/>
  <c r="H55" i="2"/>
  <c r="H56" i="2" s="1"/>
  <c r="E32" i="2"/>
  <c r="E25" i="2" s="1"/>
  <c r="Q33" i="2"/>
  <c r="I55" i="2"/>
  <c r="I56" i="2" s="1"/>
  <c r="G14" i="2"/>
  <c r="O14" i="2"/>
  <c r="S24" i="2"/>
  <c r="R24" i="2"/>
  <c r="T24" i="2"/>
  <c r="V24" i="2"/>
  <c r="U24" i="2"/>
  <c r="J54" i="2"/>
  <c r="H13" i="2"/>
  <c r="H39" i="2" s="1"/>
  <c r="H44" i="2"/>
  <c r="M14" i="2"/>
  <c r="V37" i="2"/>
  <c r="U37" i="2"/>
  <c r="T37" i="2"/>
  <c r="S37" i="2"/>
  <c r="R37" i="2"/>
  <c r="I14" i="2"/>
  <c r="N16" i="2"/>
  <c r="N14" i="2" s="1"/>
  <c r="O55" i="2"/>
  <c r="O56" i="2" s="1"/>
  <c r="I25" i="2"/>
  <c r="L54" i="2"/>
  <c r="L14" i="2"/>
  <c r="E54" i="2"/>
  <c r="M55" i="2"/>
  <c r="M56" i="2" s="1"/>
  <c r="B2" i="2"/>
  <c r="S7" i="2"/>
  <c r="T9" i="2"/>
  <c r="R11" i="2"/>
  <c r="D14" i="2"/>
  <c r="R15" i="2"/>
  <c r="U27" i="2"/>
  <c r="V28" i="2"/>
  <c r="R29" i="2"/>
  <c r="U30" i="2"/>
  <c r="L42" i="2"/>
  <c r="Q36" i="2"/>
  <c r="U9" i="2"/>
  <c r="S11" i="2"/>
  <c r="S15" i="2"/>
  <c r="Q18" i="2"/>
  <c r="S29" i="2"/>
  <c r="Q34" i="2"/>
  <c r="E42" i="2"/>
  <c r="M42" i="2"/>
  <c r="T46" i="2"/>
  <c r="D2" i="2"/>
  <c r="T11" i="2"/>
  <c r="T15" i="2"/>
  <c r="Q23" i="2"/>
  <c r="B25" i="2"/>
  <c r="T29" i="2"/>
  <c r="R31" i="2"/>
  <c r="U15" i="2"/>
  <c r="Q21" i="2"/>
  <c r="Q3" i="2"/>
  <c r="R3" i="2" s="1"/>
  <c r="V15" i="2"/>
  <c r="R28" i="2"/>
  <c r="Q26" i="2"/>
  <c r="R26" i="2" s="1"/>
  <c r="G323" i="1"/>
  <c r="F64" i="1"/>
  <c r="G66" i="1"/>
  <c r="F164" i="1"/>
  <c r="G397" i="1"/>
  <c r="G683" i="1"/>
  <c r="F782" i="1"/>
  <c r="F781" i="1" s="1"/>
  <c r="F843" i="1"/>
  <c r="G899" i="1"/>
  <c r="J241" i="1"/>
  <c r="J240" i="1" s="1"/>
  <c r="J305" i="1"/>
  <c r="J304" i="1" s="1"/>
  <c r="H590" i="1"/>
  <c r="H589" i="1" s="1"/>
  <c r="G442" i="1"/>
  <c r="H394" i="1"/>
  <c r="H393" i="1" s="1"/>
  <c r="H412" i="1"/>
  <c r="H411" i="1" s="1"/>
  <c r="L457" i="1"/>
  <c r="F880" i="1"/>
  <c r="H46" i="1"/>
  <c r="H125" i="1"/>
  <c r="H124" i="1" s="1"/>
  <c r="J820" i="1"/>
  <c r="F963" i="1"/>
  <c r="J412" i="1"/>
  <c r="J411" i="1" s="1"/>
  <c r="M80" i="1"/>
  <c r="N80" i="1" s="1"/>
  <c r="N79" i="1" s="1"/>
  <c r="H635" i="1"/>
  <c r="H634" i="1" s="1"/>
  <c r="F683" i="1"/>
  <c r="F796" i="1"/>
  <c r="H862" i="1"/>
  <c r="H861" i="1" s="1"/>
  <c r="H850" i="1" s="1"/>
  <c r="H889" i="1"/>
  <c r="H888" i="1" s="1"/>
  <c r="H887" i="1" s="1"/>
  <c r="F369" i="1"/>
  <c r="G369" i="1"/>
  <c r="F48" i="1"/>
  <c r="M66" i="1"/>
  <c r="N66" i="1" s="1"/>
  <c r="G237" i="1"/>
  <c r="G268" i="1"/>
  <c r="G297" i="1"/>
  <c r="F273" i="1"/>
  <c r="F281" i="1"/>
  <c r="G163" i="1"/>
  <c r="F85" i="1"/>
  <c r="F72" i="1"/>
  <c r="F201" i="1"/>
  <c r="F225" i="1"/>
  <c r="G259" i="1"/>
  <c r="G264" i="1"/>
  <c r="F298" i="1"/>
  <c r="F307" i="1"/>
  <c r="G396" i="1"/>
  <c r="G465" i="1"/>
  <c r="G484" i="1"/>
  <c r="G483" i="1" s="1"/>
  <c r="M497" i="1"/>
  <c r="G776" i="1"/>
  <c r="G775" i="1" s="1"/>
  <c r="F788" i="1"/>
  <c r="G827" i="1"/>
  <c r="F899" i="1"/>
  <c r="J8" i="1"/>
  <c r="J7" i="1" s="1"/>
  <c r="H167" i="1"/>
  <c r="H166" i="1" s="1"/>
  <c r="H271" i="1"/>
  <c r="H270" i="1" s="1"/>
  <c r="H305" i="1"/>
  <c r="H304" i="1" s="1"/>
  <c r="H376" i="1"/>
  <c r="J440" i="1"/>
  <c r="J439" i="1" s="1"/>
  <c r="H702" i="1"/>
  <c r="H701" i="1" s="1"/>
  <c r="J832" i="1"/>
  <c r="H83" i="1"/>
  <c r="H485" i="1"/>
  <c r="J655" i="1"/>
  <c r="J654" i="1" s="1"/>
  <c r="G93" i="1"/>
  <c r="G263" i="1"/>
  <c r="F268" i="1"/>
  <c r="F368" i="1"/>
  <c r="G378" i="1"/>
  <c r="G404" i="1"/>
  <c r="G430" i="1"/>
  <c r="F450" i="1"/>
  <c r="F675" i="1"/>
  <c r="F694" i="1"/>
  <c r="M784" i="1"/>
  <c r="N784" i="1" s="1"/>
  <c r="G822" i="1"/>
  <c r="G821" i="1" s="1"/>
  <c r="F891" i="1"/>
  <c r="F946" i="1"/>
  <c r="J125" i="1"/>
  <c r="J124" i="1" s="1"/>
  <c r="J552" i="1"/>
  <c r="J551" i="1" s="1"/>
  <c r="H45" i="1"/>
  <c r="G338" i="1"/>
  <c r="F464" i="1"/>
  <c r="G536" i="1"/>
  <c r="J328" i="1"/>
  <c r="J327" i="1" s="1"/>
  <c r="H440" i="1"/>
  <c r="H439" i="1" s="1"/>
  <c r="J499" i="1"/>
  <c r="J498" i="1" s="1"/>
  <c r="J525" i="1"/>
  <c r="J524" i="1" s="1"/>
  <c r="J702" i="1"/>
  <c r="J701" i="1" s="1"/>
  <c r="J786" i="1"/>
  <c r="J785" i="1" s="1"/>
  <c r="H832" i="1"/>
  <c r="H831" i="1" s="1"/>
  <c r="H819" i="1" s="1"/>
  <c r="J922" i="1"/>
  <c r="G368" i="1"/>
  <c r="G675" i="1"/>
  <c r="G386" i="1"/>
  <c r="G464" i="1"/>
  <c r="F472" i="1"/>
  <c r="G495" i="1"/>
  <c r="G789" i="1"/>
  <c r="F804" i="1"/>
  <c r="H241" i="1"/>
  <c r="H240" i="1" s="1"/>
  <c r="H328" i="1"/>
  <c r="H327" i="1" s="1"/>
  <c r="J376" i="1"/>
  <c r="H499" i="1"/>
  <c r="H498" i="1" s="1"/>
  <c r="H525" i="1"/>
  <c r="H524" i="1" s="1"/>
  <c r="J590" i="1"/>
  <c r="J589" i="1" s="1"/>
  <c r="J673" i="1"/>
  <c r="J672" i="1" s="1"/>
  <c r="H786" i="1"/>
  <c r="H785" i="1" s="1"/>
  <c r="J841" i="1"/>
  <c r="J831" i="1" s="1"/>
  <c r="G438" i="1"/>
  <c r="G437" i="1" s="1"/>
  <c r="G450" i="1"/>
  <c r="F243" i="1"/>
  <c r="G354" i="1"/>
  <c r="F481" i="1"/>
  <c r="F836" i="1"/>
  <c r="J167" i="1"/>
  <c r="J166" i="1" s="1"/>
  <c r="J271" i="1"/>
  <c r="J270" i="1" s="1"/>
  <c r="H673" i="1"/>
  <c r="H672" i="1" s="1"/>
  <c r="J850" i="1"/>
  <c r="J45" i="1"/>
  <c r="H943" i="1"/>
  <c r="H922" i="1" s="1"/>
  <c r="M74" i="1"/>
  <c r="G74" i="1"/>
  <c r="F523" i="1"/>
  <c r="L523" i="1" s="1"/>
  <c r="G523" i="1"/>
  <c r="N82" i="1"/>
  <c r="N81" i="1" s="1"/>
  <c r="M81" i="1"/>
  <c r="F308" i="1"/>
  <c r="G308" i="1"/>
  <c r="G609" i="1"/>
  <c r="G517" i="1"/>
  <c r="G527" i="1"/>
  <c r="G588" i="1"/>
  <c r="G712" i="1"/>
  <c r="G783" i="1"/>
  <c r="G73" i="1"/>
  <c r="M79" i="1"/>
  <c r="G201" i="1"/>
  <c r="G225" i="1"/>
  <c r="G243" i="1"/>
  <c r="G281" i="1"/>
  <c r="G307" i="1"/>
  <c r="AC355" i="1"/>
  <c r="G458" i="1"/>
  <c r="G457" i="1" s="1"/>
  <c r="F535" i="1"/>
  <c r="F555" i="1"/>
  <c r="F562" i="1"/>
  <c r="G608" i="1"/>
  <c r="F633" i="1"/>
  <c r="F657" i="1"/>
  <c r="F824" i="1"/>
  <c r="F823" i="1" s="1"/>
  <c r="F834" i="1"/>
  <c r="F833" i="1" s="1"/>
  <c r="G843" i="1"/>
  <c r="G880" i="1"/>
  <c r="F11" i="1"/>
  <c r="F18" i="1"/>
  <c r="F43" i="1"/>
  <c r="F82" i="1"/>
  <c r="F81" i="1" s="1"/>
  <c r="L81" i="1" s="1"/>
  <c r="F101" i="1"/>
  <c r="F109" i="1"/>
  <c r="F151" i="1"/>
  <c r="F230" i="1"/>
  <c r="F289" i="1"/>
  <c r="L289" i="1" s="1"/>
  <c r="F347" i="1"/>
  <c r="G370" i="1"/>
  <c r="F397" i="1"/>
  <c r="F473" i="1"/>
  <c r="G476" i="1"/>
  <c r="G496" i="1"/>
  <c r="G521" i="1"/>
  <c r="G520" i="1" s="1"/>
  <c r="F587" i="1"/>
  <c r="F616" i="1"/>
  <c r="G657" i="1"/>
  <c r="G834" i="1"/>
  <c r="G833" i="1" s="1"/>
  <c r="F915" i="1"/>
  <c r="G11" i="1"/>
  <c r="G43" i="1"/>
  <c r="G82" i="1"/>
  <c r="G81" i="1" s="1"/>
  <c r="G101" i="1"/>
  <c r="G109" i="1"/>
  <c r="G151" i="1"/>
  <c r="G230" i="1"/>
  <c r="G587" i="1"/>
  <c r="G616" i="1"/>
  <c r="G676" i="1"/>
  <c r="F789" i="1"/>
  <c r="G949" i="1"/>
  <c r="G962" i="1"/>
  <c r="M964" i="1"/>
  <c r="N964" i="1" s="1"/>
  <c r="F66" i="1"/>
  <c r="L66" i="1" s="1"/>
  <c r="G72" i="1"/>
  <c r="F80" i="1"/>
  <c r="F79" i="1" s="1"/>
  <c r="L79" i="1" s="1"/>
  <c r="F94" i="1"/>
  <c r="F177" i="1"/>
  <c r="F346" i="1"/>
  <c r="F430" i="1"/>
  <c r="F462" i="1"/>
  <c r="L462" i="1" s="1"/>
  <c r="AC780" i="1"/>
  <c r="F244" i="1"/>
  <c r="F517" i="1"/>
  <c r="F554" i="1"/>
  <c r="G617" i="1"/>
  <c r="M161" i="1"/>
  <c r="N161" i="1" s="1"/>
  <c r="F161" i="1"/>
  <c r="L161" i="1" s="1"/>
  <c r="K161" i="1"/>
  <c r="G161" i="1"/>
  <c r="L43" i="1"/>
  <c r="G10" i="1"/>
  <c r="G19" i="1"/>
  <c r="G26" i="1"/>
  <c r="G42" i="1"/>
  <c r="K69" i="1"/>
  <c r="G160" i="1"/>
  <c r="F160" i="1"/>
  <c r="K43" i="1"/>
  <c r="L10" i="1"/>
  <c r="G63" i="1"/>
  <c r="G65" i="1"/>
  <c r="G69" i="1"/>
  <c r="K18" i="1"/>
  <c r="L34" i="1"/>
  <c r="F65" i="1"/>
  <c r="G135" i="1"/>
  <c r="F135" i="1"/>
  <c r="F69" i="1"/>
  <c r="F42" i="1"/>
  <c r="L64" i="1"/>
  <c r="N74" i="1"/>
  <c r="K74" i="1"/>
  <c r="L101" i="1"/>
  <c r="F19" i="1"/>
  <c r="F34" i="1"/>
  <c r="F56" i="1"/>
  <c r="K64" i="1"/>
  <c r="F73" i="1"/>
  <c r="G117" i="1"/>
  <c r="F117" i="1"/>
  <c r="G34" i="1"/>
  <c r="G48" i="1"/>
  <c r="G56" i="1"/>
  <c r="F74" i="1"/>
  <c r="L74" i="1" s="1"/>
  <c r="K110" i="1"/>
  <c r="G110" i="1"/>
  <c r="F110" i="1"/>
  <c r="K85" i="1"/>
  <c r="F159" i="1"/>
  <c r="F158" i="1" s="1"/>
  <c r="G159" i="1"/>
  <c r="F68" i="1"/>
  <c r="G68" i="1"/>
  <c r="K73" i="1"/>
  <c r="L82" i="1"/>
  <c r="L93" i="1"/>
  <c r="F118" i="1"/>
  <c r="G118" i="1"/>
  <c r="F102" i="1"/>
  <c r="K109" i="1"/>
  <c r="F127" i="1"/>
  <c r="G127" i="1"/>
  <c r="L225" i="1"/>
  <c r="L177" i="1"/>
  <c r="K260" i="1"/>
  <c r="L263" i="1"/>
  <c r="F165" i="1"/>
  <c r="L165" i="1" s="1"/>
  <c r="M227" i="1"/>
  <c r="F227" i="1"/>
  <c r="L227" i="1" s="1"/>
  <c r="K238" i="1"/>
  <c r="G238" i="1"/>
  <c r="F238" i="1"/>
  <c r="L238" i="1" s="1"/>
  <c r="K243" i="1"/>
  <c r="K186" i="1"/>
  <c r="L186" i="1"/>
  <c r="K188" i="1"/>
  <c r="G193" i="1"/>
  <c r="F193" i="1"/>
  <c r="L260" i="1"/>
  <c r="K127" i="1"/>
  <c r="G143" i="1"/>
  <c r="K164" i="1"/>
  <c r="G165" i="1"/>
  <c r="K202" i="1"/>
  <c r="G202" i="1"/>
  <c r="F202" i="1"/>
  <c r="G227" i="1"/>
  <c r="K66" i="1"/>
  <c r="K227" i="1"/>
  <c r="G233" i="1"/>
  <c r="F233" i="1"/>
  <c r="M238" i="1"/>
  <c r="G102" i="1"/>
  <c r="L109" i="1"/>
  <c r="L163" i="1"/>
  <c r="M165" i="1"/>
  <c r="G169" i="1"/>
  <c r="F169" i="1"/>
  <c r="G209" i="1"/>
  <c r="F209" i="1"/>
  <c r="N237" i="1"/>
  <c r="N236" i="1" s="1"/>
  <c r="K263" i="1"/>
  <c r="K346" i="1"/>
  <c r="F350" i="1"/>
  <c r="G350" i="1"/>
  <c r="K273" i="1"/>
  <c r="K348" i="1"/>
  <c r="K201" i="1"/>
  <c r="G229" i="1"/>
  <c r="F229" i="1"/>
  <c r="F234" i="1"/>
  <c r="G234" i="1"/>
  <c r="L243" i="1"/>
  <c r="G267" i="1"/>
  <c r="G315" i="1"/>
  <c r="F315" i="1"/>
  <c r="L345" i="1"/>
  <c r="K353" i="1"/>
  <c r="G178" i="1"/>
  <c r="F185" i="1"/>
  <c r="G185" i="1"/>
  <c r="K226" i="1"/>
  <c r="G226" i="1"/>
  <c r="L273" i="1"/>
  <c r="G330" i="1"/>
  <c r="F330" i="1"/>
  <c r="L346" i="1"/>
  <c r="L347" i="1"/>
  <c r="L201" i="1"/>
  <c r="K259" i="1"/>
  <c r="K264" i="1"/>
  <c r="F267" i="1"/>
  <c r="L353" i="1"/>
  <c r="K94" i="1"/>
  <c r="K177" i="1"/>
  <c r="F178" i="1"/>
  <c r="F217" i="1"/>
  <c r="K225" i="1"/>
  <c r="F226" i="1"/>
  <c r="F260" i="1"/>
  <c r="G260" i="1"/>
  <c r="K307" i="1"/>
  <c r="M357" i="1"/>
  <c r="M356" i="1" s="1"/>
  <c r="F357" i="1"/>
  <c r="K244" i="1"/>
  <c r="G244" i="1"/>
  <c r="F355" i="1"/>
  <c r="L355" i="1" s="1"/>
  <c r="G355" i="1"/>
  <c r="M355" i="1"/>
  <c r="L371" i="1"/>
  <c r="G251" i="1"/>
  <c r="F251" i="1"/>
  <c r="K268" i="1"/>
  <c r="G274" i="1"/>
  <c r="K274" i="1"/>
  <c r="G289" i="1"/>
  <c r="F338" i="1"/>
  <c r="G357" i="1"/>
  <c r="G356" i="1" s="1"/>
  <c r="F237" i="1"/>
  <c r="F263" i="1"/>
  <c r="F371" i="1"/>
  <c r="K371" i="1"/>
  <c r="K387" i="1"/>
  <c r="G387" i="1"/>
  <c r="F387" i="1"/>
  <c r="F414" i="1"/>
  <c r="G414" i="1"/>
  <c r="K369" i="1"/>
  <c r="L370" i="1"/>
  <c r="K378" i="1"/>
  <c r="K386" i="1"/>
  <c r="L354" i="1"/>
  <c r="L368" i="1"/>
  <c r="L369" i="1"/>
  <c r="K379" i="1"/>
  <c r="F406" i="1"/>
  <c r="G406" i="1"/>
  <c r="F353" i="1"/>
  <c r="G353" i="1"/>
  <c r="G371" i="1"/>
  <c r="L378" i="1"/>
  <c r="M297" i="1"/>
  <c r="M296" i="1" s="1"/>
  <c r="G324" i="1"/>
  <c r="G348" i="1"/>
  <c r="G345" i="1" s="1"/>
  <c r="L379" i="1"/>
  <c r="F422" i="1"/>
  <c r="F405" i="1"/>
  <c r="G359" i="1"/>
  <c r="L430" i="1"/>
  <c r="AG466" i="1"/>
  <c r="AC466" i="1"/>
  <c r="F378" i="1"/>
  <c r="K404" i="1"/>
  <c r="M431" i="1"/>
  <c r="N431" i="1" s="1"/>
  <c r="G431" i="1"/>
  <c r="F431" i="1"/>
  <c r="L431" i="1" s="1"/>
  <c r="F370" i="1"/>
  <c r="G379" i="1"/>
  <c r="K405" i="1"/>
  <c r="G405" i="1"/>
  <c r="M474" i="1"/>
  <c r="K474" i="1"/>
  <c r="K471" i="1" s="1"/>
  <c r="G474" i="1"/>
  <c r="F474" i="1"/>
  <c r="L474" i="1" s="1"/>
  <c r="L396" i="1"/>
  <c r="K430" i="1"/>
  <c r="F438" i="1"/>
  <c r="F437" i="1" s="1"/>
  <c r="G460" i="1"/>
  <c r="F466" i="1"/>
  <c r="L466" i="1" s="1"/>
  <c r="F468" i="1"/>
  <c r="G469" i="1"/>
  <c r="F469" i="1"/>
  <c r="F496" i="1"/>
  <c r="F494" i="1" s="1"/>
  <c r="N497" i="1"/>
  <c r="G497" i="1"/>
  <c r="M519" i="1"/>
  <c r="N519" i="1" s="1"/>
  <c r="G519" i="1"/>
  <c r="F519" i="1"/>
  <c r="L519" i="1" s="1"/>
  <c r="F461" i="1"/>
  <c r="F459" i="1" s="1"/>
  <c r="M462" i="1"/>
  <c r="N462" i="1" s="1"/>
  <c r="K464" i="1"/>
  <c r="G466" i="1"/>
  <c r="G463" i="1" s="1"/>
  <c r="M470" i="1"/>
  <c r="N470" i="1" s="1"/>
  <c r="F476" i="1"/>
  <c r="L477" i="1"/>
  <c r="L481" i="1"/>
  <c r="F501" i="1"/>
  <c r="K521" i="1"/>
  <c r="G451" i="1"/>
  <c r="K451" i="1"/>
  <c r="K458" i="1"/>
  <c r="K457" i="1" s="1"/>
  <c r="G461" i="1"/>
  <c r="K466" i="1"/>
  <c r="K468" i="1"/>
  <c r="K518" i="1"/>
  <c r="F518" i="1"/>
  <c r="L522" i="1"/>
  <c r="F594" i="1"/>
  <c r="G594" i="1"/>
  <c r="K594" i="1"/>
  <c r="G487" i="1"/>
  <c r="K496" i="1"/>
  <c r="F451" i="1"/>
  <c r="G462" i="1"/>
  <c r="N466" i="1"/>
  <c r="L468" i="1"/>
  <c r="K469" i="1"/>
  <c r="F470" i="1"/>
  <c r="L470" i="1" s="1"/>
  <c r="G472" i="1"/>
  <c r="G471" i="1" s="1"/>
  <c r="L484" i="1"/>
  <c r="K517" i="1"/>
  <c r="G518" i="1"/>
  <c r="L386" i="1"/>
  <c r="L442" i="1"/>
  <c r="K462" i="1"/>
  <c r="K465" i="1"/>
  <c r="G470" i="1"/>
  <c r="L473" i="1"/>
  <c r="G480" i="1"/>
  <c r="F487" i="1"/>
  <c r="L501" i="1"/>
  <c r="F509" i="1"/>
  <c r="G509" i="1"/>
  <c r="G528" i="1"/>
  <c r="F528" i="1"/>
  <c r="K461" i="1"/>
  <c r="L509" i="1"/>
  <c r="L527" i="1"/>
  <c r="G543" i="1"/>
  <c r="F543" i="1"/>
  <c r="F571" i="1"/>
  <c r="K571" i="1"/>
  <c r="G571" i="1"/>
  <c r="F522" i="1"/>
  <c r="M523" i="1"/>
  <c r="K527" i="1"/>
  <c r="K555" i="1"/>
  <c r="G555" i="1"/>
  <c r="F570" i="1"/>
  <c r="F578" i="1"/>
  <c r="L535" i="1"/>
  <c r="L562" i="1"/>
  <c r="G593" i="1"/>
  <c r="L517" i="1"/>
  <c r="F521" i="1"/>
  <c r="M543" i="1"/>
  <c r="M542" i="1" s="1"/>
  <c r="L555" i="1"/>
  <c r="L464" i="1"/>
  <c r="L554" i="1"/>
  <c r="F593" i="1"/>
  <c r="K588" i="1"/>
  <c r="G637" i="1"/>
  <c r="F637" i="1"/>
  <c r="G632" i="1"/>
  <c r="G631" i="1" s="1"/>
  <c r="K616" i="1"/>
  <c r="G645" i="1"/>
  <c r="F645" i="1"/>
  <c r="K657" i="1"/>
  <c r="F592" i="1"/>
  <c r="K624" i="1"/>
  <c r="F632" i="1"/>
  <c r="F631" i="1" s="1"/>
  <c r="L608" i="1"/>
  <c r="F653" i="1"/>
  <c r="F652" i="1" s="1"/>
  <c r="G653" i="1"/>
  <c r="G652" i="1" s="1"/>
  <c r="K714" i="1"/>
  <c r="G714" i="1"/>
  <c r="F714" i="1"/>
  <c r="M714" i="1"/>
  <c r="L586" i="1"/>
  <c r="G592" i="1"/>
  <c r="L616" i="1"/>
  <c r="L624" i="1"/>
  <c r="F586" i="1"/>
  <c r="F600" i="1"/>
  <c r="L600" i="1"/>
  <c r="F609" i="1"/>
  <c r="L633" i="1"/>
  <c r="K675" i="1"/>
  <c r="G736" i="1"/>
  <c r="F736" i="1"/>
  <c r="L657" i="1"/>
  <c r="L675" i="1"/>
  <c r="G695" i="1"/>
  <c r="F695" i="1"/>
  <c r="L768" i="1"/>
  <c r="L683" i="1"/>
  <c r="F713" i="1"/>
  <c r="G713" i="1"/>
  <c r="G624" i="1"/>
  <c r="K658" i="1"/>
  <c r="F676" i="1"/>
  <c r="L676" i="1"/>
  <c r="K695" i="1"/>
  <c r="F745" i="1"/>
  <c r="K745" i="1"/>
  <c r="F684" i="1"/>
  <c r="G684" i="1"/>
  <c r="F665" i="1"/>
  <c r="G720" i="1"/>
  <c r="K721" i="1"/>
  <c r="F728" i="1"/>
  <c r="F744" i="1"/>
  <c r="F760" i="1"/>
  <c r="G694" i="1"/>
  <c r="K704" i="1"/>
  <c r="G769" i="1"/>
  <c r="F769" i="1"/>
  <c r="K769" i="1"/>
  <c r="G768" i="1"/>
  <c r="F768" i="1"/>
  <c r="F704" i="1"/>
  <c r="F721" i="1"/>
  <c r="G721" i="1"/>
  <c r="G744" i="1"/>
  <c r="K768" i="1"/>
  <c r="F778" i="1"/>
  <c r="G778" i="1"/>
  <c r="K784" i="1"/>
  <c r="L782" i="1"/>
  <c r="K788" i="1"/>
  <c r="F805" i="1"/>
  <c r="F812" i="1"/>
  <c r="G752" i="1"/>
  <c r="L776" i="1"/>
  <c r="F776" i="1"/>
  <c r="F775" i="1" s="1"/>
  <c r="K796" i="1"/>
  <c r="F837" i="1"/>
  <c r="G837" i="1"/>
  <c r="L797" i="1"/>
  <c r="G844" i="1"/>
  <c r="F844" i="1"/>
  <c r="F842" i="1" s="1"/>
  <c r="K846" i="1"/>
  <c r="L846" i="1"/>
  <c r="N849" i="1"/>
  <c r="N848" i="1" s="1"/>
  <c r="L826" i="1"/>
  <c r="L834" i="1"/>
  <c r="G781" i="1"/>
  <c r="K783" i="1"/>
  <c r="F797" i="1"/>
  <c r="G797" i="1"/>
  <c r="K804" i="1"/>
  <c r="K865" i="1"/>
  <c r="G865" i="1"/>
  <c r="F865" i="1"/>
  <c r="F779" i="1"/>
  <c r="L788" i="1"/>
  <c r="F849" i="1"/>
  <c r="G864" i="1"/>
  <c r="F872" i="1"/>
  <c r="G872" i="1"/>
  <c r="G842" i="1"/>
  <c r="K892" i="1"/>
  <c r="K834" i="1"/>
  <c r="K833" i="1" s="1"/>
  <c r="K864" i="1"/>
  <c r="K789" i="1"/>
  <c r="G796" i="1"/>
  <c r="K822" i="1"/>
  <c r="K821" i="1" s="1"/>
  <c r="G824" i="1"/>
  <c r="G823" i="1" s="1"/>
  <c r="L824" i="1"/>
  <c r="F839" i="1"/>
  <c r="L864" i="1"/>
  <c r="L872" i="1"/>
  <c r="K826" i="1"/>
  <c r="G839" i="1"/>
  <c r="G849" i="1"/>
  <c r="G848" i="1" s="1"/>
  <c r="F892" i="1"/>
  <c r="G892" i="1"/>
  <c r="K899" i="1"/>
  <c r="F927" i="1"/>
  <c r="K927" i="1"/>
  <c r="G836" i="1"/>
  <c r="G835" i="1" s="1"/>
  <c r="K843" i="1"/>
  <c r="G891" i="1"/>
  <c r="F907" i="1"/>
  <c r="G907" i="1"/>
  <c r="L907" i="1"/>
  <c r="K926" i="1"/>
  <c r="F881" i="1"/>
  <c r="L915" i="1"/>
  <c r="G926" i="1"/>
  <c r="F948" i="1"/>
  <c r="G948" i="1"/>
  <c r="F956" i="1"/>
  <c r="L854" i="1"/>
  <c r="L880" i="1"/>
  <c r="L899" i="1"/>
  <c r="L926" i="1"/>
  <c r="K937" i="1"/>
  <c r="F949" i="1"/>
  <c r="G846" i="1"/>
  <c r="G854" i="1"/>
  <c r="F937" i="1"/>
  <c r="G937" i="1"/>
  <c r="F926" i="1"/>
  <c r="L936" i="1"/>
  <c r="K957" i="1"/>
  <c r="F957" i="1"/>
  <c r="L962" i="1"/>
  <c r="L957" i="1"/>
  <c r="F936" i="1"/>
  <c r="G936" i="1"/>
  <c r="L947" i="1"/>
  <c r="L963" i="1"/>
  <c r="H550" i="1" l="1"/>
  <c r="J6" i="1"/>
  <c r="G516" i="1"/>
  <c r="H690" i="1"/>
  <c r="J690" i="1"/>
  <c r="J819" i="1"/>
  <c r="J5" i="1" s="1"/>
  <c r="J4" i="1" s="1"/>
  <c r="H326" i="1"/>
  <c r="S26" i="2"/>
  <c r="P44" i="2"/>
  <c r="B13" i="2"/>
  <c r="J13" i="2"/>
  <c r="J39" i="2" s="1"/>
  <c r="J55" i="2"/>
  <c r="J56" i="2" s="1"/>
  <c r="S3" i="2"/>
  <c r="L44" i="2"/>
  <c r="L13" i="2"/>
  <c r="L39" i="2" s="1"/>
  <c r="Q2" i="2"/>
  <c r="S2" i="2" s="1"/>
  <c r="V3" i="2"/>
  <c r="T3" i="2"/>
  <c r="U3" i="2"/>
  <c r="U23" i="2"/>
  <c r="V23" i="2"/>
  <c r="T23" i="2"/>
  <c r="S23" i="2"/>
  <c r="R23" i="2"/>
  <c r="Q22" i="2"/>
  <c r="G13" i="2"/>
  <c r="G39" i="2" s="1"/>
  <c r="G44" i="2"/>
  <c r="T21" i="2"/>
  <c r="Q42" i="2"/>
  <c r="S21" i="2"/>
  <c r="R21" i="2"/>
  <c r="U21" i="2"/>
  <c r="V21" i="2"/>
  <c r="N13" i="2"/>
  <c r="N39" i="2" s="1"/>
  <c r="N44" i="2"/>
  <c r="Q32" i="2"/>
  <c r="V33" i="2"/>
  <c r="U33" i="2"/>
  <c r="T33" i="2"/>
  <c r="S33" i="2"/>
  <c r="R33" i="2"/>
  <c r="E55" i="2"/>
  <c r="E56" i="2" s="1"/>
  <c r="U34" i="2"/>
  <c r="T34" i="2"/>
  <c r="S34" i="2"/>
  <c r="R34" i="2"/>
  <c r="B39" i="2"/>
  <c r="F13" i="2"/>
  <c r="F44" i="2"/>
  <c r="V26" i="2"/>
  <c r="U26" i="2"/>
  <c r="T26" i="2"/>
  <c r="Q35" i="2"/>
  <c r="V36" i="2"/>
  <c r="U36" i="2"/>
  <c r="T36" i="2"/>
  <c r="S36" i="2"/>
  <c r="R36" i="2"/>
  <c r="I44" i="2"/>
  <c r="I13" i="2"/>
  <c r="I39" i="2" s="1"/>
  <c r="F55" i="2"/>
  <c r="F56" i="2" s="1"/>
  <c r="Q17" i="2"/>
  <c r="E16" i="2"/>
  <c r="E14" i="2" s="1"/>
  <c r="V18" i="2"/>
  <c r="U18" i="2"/>
  <c r="T18" i="2"/>
  <c r="S18" i="2"/>
  <c r="R18" i="2"/>
  <c r="D44" i="2"/>
  <c r="D13" i="2"/>
  <c r="D39" i="2" s="1"/>
  <c r="L55" i="2"/>
  <c r="L56" i="2" s="1"/>
  <c r="M44" i="2"/>
  <c r="M13" i="2"/>
  <c r="M39" i="2" s="1"/>
  <c r="O13" i="2"/>
  <c r="O39" i="2" s="1"/>
  <c r="O44" i="2"/>
  <c r="V20" i="2"/>
  <c r="Q19" i="2"/>
  <c r="U20" i="2"/>
  <c r="T20" i="2"/>
  <c r="S20" i="2"/>
  <c r="R20" i="2"/>
  <c r="F658" i="1"/>
  <c r="F352" i="1"/>
  <c r="G162" i="1"/>
  <c r="K459" i="1"/>
  <c r="H6" i="1"/>
  <c r="F224" i="1"/>
  <c r="G585" i="1"/>
  <c r="J550" i="1"/>
  <c r="M588" i="1"/>
  <c r="N588" i="1" s="1"/>
  <c r="G494" i="1"/>
  <c r="G298" i="1"/>
  <c r="F588" i="1"/>
  <c r="L588" i="1" s="1"/>
  <c r="G352" i="1"/>
  <c r="M298" i="1"/>
  <c r="M348" i="1"/>
  <c r="N348" i="1" s="1"/>
  <c r="F348" i="1"/>
  <c r="J326" i="1"/>
  <c r="G94" i="1"/>
  <c r="F617" i="1"/>
  <c r="G158" i="1"/>
  <c r="F536" i="1"/>
  <c r="F516" i="1"/>
  <c r="G467" i="1"/>
  <c r="G224" i="1"/>
  <c r="M827" i="1"/>
  <c r="N827" i="1" s="1"/>
  <c r="G947" i="1"/>
  <c r="F947" i="1"/>
  <c r="F827" i="1"/>
  <c r="L827" i="1" s="1"/>
  <c r="F186" i="1"/>
  <c r="G186" i="1"/>
  <c r="G658" i="1"/>
  <c r="F964" i="1"/>
  <c r="G964" i="1"/>
  <c r="G961" i="1" s="1"/>
  <c r="G960" i="1" s="1"/>
  <c r="G959" i="1" s="1"/>
  <c r="F274" i="1"/>
  <c r="K781" i="1"/>
  <c r="G916" i="1"/>
  <c r="F916" i="1"/>
  <c r="L80" i="1"/>
  <c r="G881" i="1"/>
  <c r="F520" i="1"/>
  <c r="G900" i="1"/>
  <c r="F900" i="1"/>
  <c r="F63" i="1"/>
  <c r="G86" i="1"/>
  <c r="F86" i="1"/>
  <c r="K224" i="1"/>
  <c r="F928" i="1"/>
  <c r="G928" i="1"/>
  <c r="F893" i="1"/>
  <c r="G893" i="1"/>
  <c r="F790" i="1"/>
  <c r="G790" i="1"/>
  <c r="K916" i="1"/>
  <c r="L881" i="1"/>
  <c r="L937" i="1"/>
  <c r="L948" i="1"/>
  <c r="L839" i="1"/>
  <c r="K882" i="1"/>
  <c r="K844" i="1"/>
  <c r="L781" i="1"/>
  <c r="L760" i="1"/>
  <c r="M722" i="1"/>
  <c r="N722" i="1" s="1"/>
  <c r="G722" i="1"/>
  <c r="F722" i="1"/>
  <c r="L722" i="1" s="1"/>
  <c r="K665" i="1"/>
  <c r="L665" i="1"/>
  <c r="L745" i="1"/>
  <c r="G737" i="1"/>
  <c r="F737" i="1"/>
  <c r="K523" i="1"/>
  <c r="K520" i="1" s="1"/>
  <c r="K487" i="1"/>
  <c r="K595" i="1"/>
  <c r="G595" i="1"/>
  <c r="M595" i="1"/>
  <c r="F595" i="1"/>
  <c r="L595" i="1" s="1"/>
  <c r="K463" i="1"/>
  <c r="G459" i="1"/>
  <c r="K431" i="1"/>
  <c r="K359" i="1"/>
  <c r="M309" i="1"/>
  <c r="G309" i="1"/>
  <c r="F309" i="1"/>
  <c r="F356" i="1"/>
  <c r="L356" i="1" s="1"/>
  <c r="L357" i="1"/>
  <c r="L315" i="1"/>
  <c r="L267" i="1"/>
  <c r="K289" i="1"/>
  <c r="L298" i="1"/>
  <c r="K350" i="1"/>
  <c r="K151" i="1"/>
  <c r="K102" i="1"/>
  <c r="L193" i="1"/>
  <c r="L86" i="1"/>
  <c r="L65" i="1"/>
  <c r="L63" i="1"/>
  <c r="K19" i="1"/>
  <c r="G917" i="1"/>
  <c r="K917" i="1"/>
  <c r="F917" i="1"/>
  <c r="K779" i="1"/>
  <c r="L779" i="1"/>
  <c r="K958" i="1"/>
  <c r="M958" i="1"/>
  <c r="G958" i="1"/>
  <c r="G955" i="1" s="1"/>
  <c r="G954" i="1" s="1"/>
  <c r="G953" i="1" s="1"/>
  <c r="F958" i="1"/>
  <c r="L958" i="1" s="1"/>
  <c r="L836" i="1"/>
  <c r="K908" i="1"/>
  <c r="F908" i="1"/>
  <c r="G908" i="1"/>
  <c r="F847" i="1"/>
  <c r="F845" i="1" s="1"/>
  <c r="G847" i="1"/>
  <c r="K956" i="1"/>
  <c r="G840" i="1"/>
  <c r="G989" i="1" s="1"/>
  <c r="F840" i="1"/>
  <c r="K872" i="1"/>
  <c r="L821" i="1"/>
  <c r="G806" i="1"/>
  <c r="F806" i="1"/>
  <c r="L806" i="1" s="1"/>
  <c r="M806" i="1"/>
  <c r="N806" i="1" s="1"/>
  <c r="G666" i="1"/>
  <c r="F666" i="1"/>
  <c r="L721" i="1"/>
  <c r="K684" i="1"/>
  <c r="F659" i="1"/>
  <c r="G659" i="1"/>
  <c r="L653" i="1"/>
  <c r="L645" i="1"/>
  <c r="L632" i="1"/>
  <c r="K592" i="1"/>
  <c r="K637" i="1"/>
  <c r="N523" i="1"/>
  <c r="F572" i="1"/>
  <c r="L572" i="1" s="1"/>
  <c r="G572" i="1"/>
  <c r="M572" i="1"/>
  <c r="N572" i="1" s="1"/>
  <c r="F544" i="1"/>
  <c r="L544" i="1" s="1"/>
  <c r="M544" i="1"/>
  <c r="K544" i="1"/>
  <c r="G544" i="1"/>
  <c r="K480" i="1"/>
  <c r="L594" i="1"/>
  <c r="L451" i="1"/>
  <c r="F360" i="1"/>
  <c r="G360" i="1"/>
  <c r="M372" i="1"/>
  <c r="G372" i="1"/>
  <c r="F372" i="1"/>
  <c r="L372" i="1" s="1"/>
  <c r="M265" i="1"/>
  <c r="F265" i="1"/>
  <c r="L265" i="1" s="1"/>
  <c r="G265" i="1"/>
  <c r="G262" i="1" s="1"/>
  <c r="K414" i="1"/>
  <c r="L324" i="1"/>
  <c r="K324" i="1"/>
  <c r="L274" i="1"/>
  <c r="K251" i="1"/>
  <c r="N357" i="1"/>
  <c r="N356" i="1" s="1"/>
  <c r="N261" i="1"/>
  <c r="F261" i="1"/>
  <c r="M261" i="1"/>
  <c r="G261" i="1"/>
  <c r="G258" i="1" s="1"/>
  <c r="L224" i="1"/>
  <c r="K95" i="1"/>
  <c r="G95" i="1"/>
  <c r="F95" i="1"/>
  <c r="M325" i="1"/>
  <c r="N325" i="1" s="1"/>
  <c r="K325" i="1"/>
  <c r="G325" i="1"/>
  <c r="F325" i="1"/>
  <c r="K330" i="1"/>
  <c r="K229" i="1"/>
  <c r="L209" i="1"/>
  <c r="K169" i="1"/>
  <c r="L151" i="1"/>
  <c r="F103" i="1"/>
  <c r="G103" i="1"/>
  <c r="K103" i="1"/>
  <c r="K233" i="1"/>
  <c r="L202" i="1"/>
  <c r="K193" i="1"/>
  <c r="L169" i="1"/>
  <c r="K159" i="1"/>
  <c r="L110" i="1"/>
  <c r="L69" i="1"/>
  <c r="K136" i="1"/>
  <c r="F136" i="1"/>
  <c r="G136" i="1"/>
  <c r="L56" i="1"/>
  <c r="F27" i="1"/>
  <c r="G27" i="1"/>
  <c r="F838" i="1"/>
  <c r="G873" i="1"/>
  <c r="F873" i="1"/>
  <c r="G866" i="1"/>
  <c r="F866" i="1"/>
  <c r="K866" i="1"/>
  <c r="L844" i="1"/>
  <c r="G828" i="1"/>
  <c r="F828" i="1"/>
  <c r="K837" i="1"/>
  <c r="L752" i="1"/>
  <c r="K752" i="1"/>
  <c r="K805" i="1"/>
  <c r="K778" i="1"/>
  <c r="K720" i="1"/>
  <c r="F770" i="1"/>
  <c r="L770" i="1" s="1"/>
  <c r="M770" i="1"/>
  <c r="N770" i="1" s="1"/>
  <c r="G770" i="1"/>
  <c r="L704" i="1"/>
  <c r="L728" i="1"/>
  <c r="K728" i="1"/>
  <c r="K685" i="1"/>
  <c r="G685" i="1"/>
  <c r="F685" i="1"/>
  <c r="L609" i="1"/>
  <c r="L592" i="1"/>
  <c r="F646" i="1"/>
  <c r="K646" i="1"/>
  <c r="G646" i="1"/>
  <c r="L637" i="1"/>
  <c r="G537" i="1"/>
  <c r="F537" i="1"/>
  <c r="K593" i="1"/>
  <c r="L571" i="1"/>
  <c r="L570" i="1"/>
  <c r="K543" i="1"/>
  <c r="L463" i="1"/>
  <c r="K501" i="1"/>
  <c r="K450" i="1"/>
  <c r="L450" i="1"/>
  <c r="L518" i="1"/>
  <c r="L516" i="1"/>
  <c r="L476" i="1"/>
  <c r="L480" i="1"/>
  <c r="K442" i="1"/>
  <c r="K470" i="1"/>
  <c r="K467" i="1" s="1"/>
  <c r="F471" i="1"/>
  <c r="M239" i="1"/>
  <c r="F239" i="1"/>
  <c r="L239" i="1" s="1"/>
  <c r="G239" i="1"/>
  <c r="G236" i="1" s="1"/>
  <c r="G252" i="1"/>
  <c r="F252" i="1"/>
  <c r="K355" i="1"/>
  <c r="K352" i="1" s="1"/>
  <c r="L323" i="1"/>
  <c r="L234" i="1"/>
  <c r="K234" i="1"/>
  <c r="L350" i="1"/>
  <c r="K209" i="1"/>
  <c r="F170" i="1"/>
  <c r="G170" i="1"/>
  <c r="G128" i="1"/>
  <c r="F128" i="1"/>
  <c r="F194" i="1"/>
  <c r="G194" i="1"/>
  <c r="N238" i="1"/>
  <c r="K118" i="1"/>
  <c r="L159" i="1"/>
  <c r="L158" i="1"/>
  <c r="K86" i="1"/>
  <c r="G20" i="1"/>
  <c r="F20" i="1"/>
  <c r="F162" i="1"/>
  <c r="G57" i="1"/>
  <c r="F57" i="1"/>
  <c r="L26" i="1"/>
  <c r="K26" i="1"/>
  <c r="L956" i="1"/>
  <c r="G798" i="1"/>
  <c r="F798" i="1"/>
  <c r="L901" i="1"/>
  <c r="G813" i="1"/>
  <c r="F813" i="1"/>
  <c r="K813" i="1"/>
  <c r="L805" i="1"/>
  <c r="K760" i="1"/>
  <c r="L720" i="1"/>
  <c r="K729" i="1"/>
  <c r="G729" i="1"/>
  <c r="F729" i="1"/>
  <c r="L684" i="1"/>
  <c r="L658" i="1"/>
  <c r="K713" i="1"/>
  <c r="K736" i="1"/>
  <c r="F715" i="1"/>
  <c r="K715" i="1"/>
  <c r="G715" i="1"/>
  <c r="K632" i="1"/>
  <c r="K631" i="1" s="1"/>
  <c r="F618" i="1"/>
  <c r="M618" i="1"/>
  <c r="K618" i="1"/>
  <c r="G618" i="1"/>
  <c r="K536" i="1"/>
  <c r="L593" i="1"/>
  <c r="K578" i="1"/>
  <c r="N543" i="1"/>
  <c r="N542" i="1" s="1"/>
  <c r="L528" i="1"/>
  <c r="K397" i="1"/>
  <c r="L469" i="1"/>
  <c r="L467" i="1"/>
  <c r="K476" i="1"/>
  <c r="G443" i="1"/>
  <c r="F443" i="1"/>
  <c r="K422" i="1"/>
  <c r="G322" i="1"/>
  <c r="L406" i="1"/>
  <c r="F415" i="1"/>
  <c r="L415" i="1" s="1"/>
  <c r="M415" i="1"/>
  <c r="K415" i="1"/>
  <c r="G415" i="1"/>
  <c r="F388" i="1"/>
  <c r="G388" i="1"/>
  <c r="L237" i="1"/>
  <c r="F236" i="1"/>
  <c r="L236" i="1" s="1"/>
  <c r="N355" i="1"/>
  <c r="L352" i="1"/>
  <c r="L264" i="1"/>
  <c r="G231" i="1"/>
  <c r="G228" i="1" s="1"/>
  <c r="F231" i="1"/>
  <c r="L231" i="1" s="1"/>
  <c r="K231" i="1"/>
  <c r="M231" i="1"/>
  <c r="K267" i="1"/>
  <c r="K345" i="1"/>
  <c r="L233" i="1"/>
  <c r="L72" i="1"/>
  <c r="N165" i="1"/>
  <c r="L226" i="1"/>
  <c r="L118" i="1"/>
  <c r="K68" i="1"/>
  <c r="K48" i="1"/>
  <c r="G87" i="1"/>
  <c r="F87" i="1"/>
  <c r="F35" i="1"/>
  <c r="G35" i="1"/>
  <c r="L102" i="1"/>
  <c r="K56" i="1"/>
  <c r="K65" i="1"/>
  <c r="K63" i="1" s="1"/>
  <c r="K160" i="1"/>
  <c r="K72" i="1"/>
  <c r="L891" i="1"/>
  <c r="K836" i="1"/>
  <c r="K835" i="1" s="1"/>
  <c r="L837" i="1"/>
  <c r="K812" i="1"/>
  <c r="F780" i="1"/>
  <c r="L780" i="1" s="1"/>
  <c r="M780" i="1"/>
  <c r="G780" i="1"/>
  <c r="G777" i="1" s="1"/>
  <c r="K761" i="1"/>
  <c r="G761" i="1"/>
  <c r="F761" i="1"/>
  <c r="G705" i="1"/>
  <c r="F705" i="1"/>
  <c r="L778" i="1"/>
  <c r="L695" i="1"/>
  <c r="K609" i="1"/>
  <c r="L617" i="1"/>
  <c r="L578" i="1"/>
  <c r="L520" i="1"/>
  <c r="K482" i="1"/>
  <c r="G482" i="1"/>
  <c r="G479" i="1" s="1"/>
  <c r="F482" i="1"/>
  <c r="M482" i="1"/>
  <c r="G398" i="1"/>
  <c r="F398" i="1"/>
  <c r="M398" i="1"/>
  <c r="G488" i="1"/>
  <c r="F488" i="1"/>
  <c r="L438" i="1"/>
  <c r="L487" i="1"/>
  <c r="K502" i="1"/>
  <c r="G502" i="1"/>
  <c r="F502" i="1"/>
  <c r="L471" i="1"/>
  <c r="L459" i="1"/>
  <c r="K275" i="1"/>
  <c r="G275" i="1"/>
  <c r="F275" i="1"/>
  <c r="K245" i="1"/>
  <c r="G245" i="1"/>
  <c r="F245" i="1"/>
  <c r="L338" i="1"/>
  <c r="L281" i="1"/>
  <c r="K185" i="1"/>
  <c r="K298" i="1"/>
  <c r="L178" i="1"/>
  <c r="K178" i="1"/>
  <c r="K315" i="1"/>
  <c r="L251" i="1"/>
  <c r="F299" i="1"/>
  <c r="L299" i="1" s="1"/>
  <c r="G299" i="1"/>
  <c r="M299" i="1"/>
  <c r="K143" i="1"/>
  <c r="L143" i="1"/>
  <c r="L244" i="1"/>
  <c r="K187" i="1"/>
  <c r="G111" i="1"/>
  <c r="F111" i="1"/>
  <c r="F49" i="1"/>
  <c r="G49" i="1"/>
  <c r="L117" i="1"/>
  <c r="L73" i="1"/>
  <c r="L19" i="1"/>
  <c r="L48" i="1"/>
  <c r="G845" i="1"/>
  <c r="K881" i="1"/>
  <c r="L892" i="1"/>
  <c r="L949" i="1"/>
  <c r="L927" i="1"/>
  <c r="L833" i="1"/>
  <c r="F989" i="1"/>
  <c r="F972" i="1"/>
  <c r="F835" i="1"/>
  <c r="F832" i="1" s="1"/>
  <c r="K776" i="1"/>
  <c r="K775" i="1" s="1"/>
  <c r="L775" i="1"/>
  <c r="L812" i="1"/>
  <c r="L769" i="1"/>
  <c r="L713" i="1"/>
  <c r="K676" i="1"/>
  <c r="L736" i="1"/>
  <c r="M610" i="1"/>
  <c r="G610" i="1"/>
  <c r="F610" i="1"/>
  <c r="L610" i="1" s="1"/>
  <c r="K586" i="1"/>
  <c r="K585" i="1" s="1"/>
  <c r="L585" i="1"/>
  <c r="K653" i="1"/>
  <c r="K652" i="1" s="1"/>
  <c r="G579" i="1"/>
  <c r="F579" i="1"/>
  <c r="K579" i="1"/>
  <c r="L536" i="1"/>
  <c r="G556" i="1"/>
  <c r="F556" i="1"/>
  <c r="K497" i="1"/>
  <c r="K494" i="1" s="1"/>
  <c r="K438" i="1"/>
  <c r="K437" i="1" s="1"/>
  <c r="N474" i="1"/>
  <c r="L405" i="1"/>
  <c r="G380" i="1"/>
  <c r="F380" i="1"/>
  <c r="K432" i="1"/>
  <c r="G432" i="1"/>
  <c r="F432" i="1"/>
  <c r="L397" i="1"/>
  <c r="L461" i="1"/>
  <c r="G423" i="1"/>
  <c r="F423" i="1"/>
  <c r="K423" i="1"/>
  <c r="G407" i="1"/>
  <c r="F407" i="1"/>
  <c r="F463" i="1"/>
  <c r="L414" i="1"/>
  <c r="K338" i="1"/>
  <c r="K281" i="1"/>
  <c r="N297" i="1"/>
  <c r="N296" i="1" s="1"/>
  <c r="L217" i="1"/>
  <c r="G179" i="1"/>
  <c r="F179" i="1"/>
  <c r="K179" i="1"/>
  <c r="K316" i="1"/>
  <c r="G316" i="1"/>
  <c r="F316" i="1"/>
  <c r="N227" i="1"/>
  <c r="M203" i="1"/>
  <c r="N203" i="1" s="1"/>
  <c r="G203" i="1"/>
  <c r="F203" i="1"/>
  <c r="G144" i="1"/>
  <c r="F144" i="1"/>
  <c r="K165" i="1"/>
  <c r="K189" i="1"/>
  <c r="L94" i="1"/>
  <c r="F70" i="1"/>
  <c r="L70" i="1" s="1"/>
  <c r="G70" i="1"/>
  <c r="G67" i="1" s="1"/>
  <c r="M70" i="1"/>
  <c r="K42" i="1"/>
  <c r="K117" i="1"/>
  <c r="K11" i="1"/>
  <c r="M75" i="1"/>
  <c r="F75" i="1"/>
  <c r="L75" i="1" s="1"/>
  <c r="G75" i="1"/>
  <c r="N75" i="1"/>
  <c r="G44" i="1"/>
  <c r="F44" i="1"/>
  <c r="L44" i="1" s="1"/>
  <c r="M44" i="1"/>
  <c r="L68" i="1"/>
  <c r="G838" i="1"/>
  <c r="G832" i="1" s="1"/>
  <c r="G841" i="1"/>
  <c r="L900" i="1"/>
  <c r="F855" i="1"/>
  <c r="K855" i="1"/>
  <c r="G855" i="1"/>
  <c r="K842" i="1"/>
  <c r="L882" i="1"/>
  <c r="K839" i="1"/>
  <c r="K963" i="1"/>
  <c r="K964" i="1"/>
  <c r="K900" i="1"/>
  <c r="G938" i="1"/>
  <c r="F938" i="1"/>
  <c r="L796" i="1"/>
  <c r="L849" i="1"/>
  <c r="F848" i="1"/>
  <c r="L848" i="1" s="1"/>
  <c r="K827" i="1"/>
  <c r="K901" i="1"/>
  <c r="K744" i="1"/>
  <c r="F746" i="1"/>
  <c r="L746" i="1" s="1"/>
  <c r="M746" i="1"/>
  <c r="N746" i="1" s="1"/>
  <c r="G746" i="1"/>
  <c r="F677" i="1"/>
  <c r="G677" i="1"/>
  <c r="G696" i="1"/>
  <c r="K696" i="1"/>
  <c r="F696" i="1"/>
  <c r="G601" i="1"/>
  <c r="F601" i="1"/>
  <c r="F585" i="1"/>
  <c r="L714" i="1"/>
  <c r="N714" i="1"/>
  <c r="K528" i="1"/>
  <c r="G510" i="1"/>
  <c r="F510" i="1"/>
  <c r="G478" i="1"/>
  <c r="G475" i="1" s="1"/>
  <c r="F478" i="1"/>
  <c r="L478" i="1" s="1"/>
  <c r="M478" i="1"/>
  <c r="N478" i="1" s="1"/>
  <c r="F467" i="1"/>
  <c r="L422" i="1"/>
  <c r="L387" i="1"/>
  <c r="K357" i="1"/>
  <c r="K356" i="1" s="1"/>
  <c r="K339" i="1"/>
  <c r="G339" i="1"/>
  <c r="F339" i="1"/>
  <c r="K282" i="1"/>
  <c r="G282" i="1"/>
  <c r="F282" i="1"/>
  <c r="F351" i="1"/>
  <c r="F349" i="1" s="1"/>
  <c r="G351" i="1"/>
  <c r="G290" i="1"/>
  <c r="F290" i="1"/>
  <c r="K290" i="1"/>
  <c r="M290" i="1"/>
  <c r="N290" i="1" s="1"/>
  <c r="K331" i="1"/>
  <c r="G331" i="1"/>
  <c r="F331" i="1"/>
  <c r="K217" i="1"/>
  <c r="G349" i="1"/>
  <c r="N298" i="1"/>
  <c r="K163" i="1"/>
  <c r="L162" i="1"/>
  <c r="G235" i="1"/>
  <c r="G232" i="1" s="1"/>
  <c r="F235" i="1"/>
  <c r="L235" i="1" s="1"/>
  <c r="M235" i="1"/>
  <c r="K235" i="1"/>
  <c r="F119" i="1"/>
  <c r="K119" i="1"/>
  <c r="G119" i="1"/>
  <c r="F12" i="1"/>
  <c r="G12" i="1"/>
  <c r="K135" i="1"/>
  <c r="L42" i="1"/>
  <c r="L160" i="1"/>
  <c r="L916" i="1"/>
  <c r="M950" i="1"/>
  <c r="G950" i="1"/>
  <c r="F950" i="1"/>
  <c r="K824" i="1"/>
  <c r="K823" i="1" s="1"/>
  <c r="L823" i="1"/>
  <c r="K854" i="1"/>
  <c r="K949" i="1"/>
  <c r="K948" i="1"/>
  <c r="K891" i="1"/>
  <c r="K907" i="1"/>
  <c r="K849" i="1"/>
  <c r="K848" i="1" s="1"/>
  <c r="L865" i="1"/>
  <c r="L783" i="1"/>
  <c r="L789" i="1"/>
  <c r="F753" i="1"/>
  <c r="G753" i="1"/>
  <c r="L744" i="1"/>
  <c r="G625" i="1"/>
  <c r="F625" i="1"/>
  <c r="K600" i="1"/>
  <c r="G563" i="1"/>
  <c r="F563" i="1"/>
  <c r="K645" i="1"/>
  <c r="G638" i="1"/>
  <c r="K638" i="1"/>
  <c r="F638" i="1"/>
  <c r="K617" i="1"/>
  <c r="K570" i="1"/>
  <c r="L543" i="1"/>
  <c r="K529" i="1"/>
  <c r="G529" i="1"/>
  <c r="F529" i="1"/>
  <c r="K509" i="1"/>
  <c r="N476" i="1"/>
  <c r="G452" i="1"/>
  <c r="F452" i="1"/>
  <c r="K452" i="1"/>
  <c r="L496" i="1"/>
  <c r="L494" i="1"/>
  <c r="K519" i="1"/>
  <c r="K516" i="1" s="1"/>
  <c r="L308" i="1"/>
  <c r="K308" i="1"/>
  <c r="K406" i="1"/>
  <c r="L330" i="1"/>
  <c r="K269" i="1"/>
  <c r="G269" i="1"/>
  <c r="G266" i="1" s="1"/>
  <c r="F269" i="1"/>
  <c r="L269" i="1" s="1"/>
  <c r="M269" i="1"/>
  <c r="L229" i="1"/>
  <c r="K323" i="1"/>
  <c r="N289" i="1"/>
  <c r="N288" i="1" s="1"/>
  <c r="L259" i="1"/>
  <c r="F218" i="1"/>
  <c r="G218" i="1"/>
  <c r="K218" i="1"/>
  <c r="L359" i="1"/>
  <c r="G210" i="1"/>
  <c r="F210" i="1"/>
  <c r="F152" i="1"/>
  <c r="G152" i="1"/>
  <c r="K152" i="1"/>
  <c r="L185" i="1"/>
  <c r="L127" i="1"/>
  <c r="F67" i="1"/>
  <c r="F41" i="1"/>
  <c r="L135" i="1"/>
  <c r="G41" i="1"/>
  <c r="L11" i="1"/>
  <c r="K162" i="1" l="1"/>
  <c r="H5" i="1"/>
  <c r="H4" i="1" s="1"/>
  <c r="L4" i="1" s="1"/>
  <c r="S42" i="2"/>
  <c r="S32" i="2"/>
  <c r="V32" i="2"/>
  <c r="U32" i="2"/>
  <c r="T32" i="2"/>
  <c r="R32" i="2"/>
  <c r="V19" i="2"/>
  <c r="U19" i="2"/>
  <c r="T19" i="2"/>
  <c r="S19" i="2"/>
  <c r="R19" i="2"/>
  <c r="E44" i="2"/>
  <c r="E13" i="2"/>
  <c r="E39" i="2" s="1"/>
  <c r="V42" i="2"/>
  <c r="U42" i="2"/>
  <c r="T42" i="2"/>
  <c r="Q16" i="2"/>
  <c r="V17" i="2"/>
  <c r="U17" i="2"/>
  <c r="T17" i="2"/>
  <c r="S17" i="2"/>
  <c r="R17" i="2"/>
  <c r="AA15" i="2"/>
  <c r="F39" i="2"/>
  <c r="R2" i="2"/>
  <c r="V22" i="2"/>
  <c r="U22" i="2"/>
  <c r="T22" i="2"/>
  <c r="S22" i="2"/>
  <c r="R22" i="2"/>
  <c r="V35" i="2"/>
  <c r="S35" i="2"/>
  <c r="U35" i="2"/>
  <c r="T35" i="2"/>
  <c r="R35" i="2"/>
  <c r="V2" i="2"/>
  <c r="U2" i="2"/>
  <c r="T2" i="2"/>
  <c r="Q25" i="2"/>
  <c r="R42" i="2"/>
  <c r="F777" i="1"/>
  <c r="F187" i="1"/>
  <c r="L187" i="1" s="1"/>
  <c r="G187" i="1"/>
  <c r="M187" i="1"/>
  <c r="N187" i="1" s="1"/>
  <c r="G831" i="1"/>
  <c r="L348" i="1"/>
  <c r="F345" i="1"/>
  <c r="G901" i="1"/>
  <c r="F901" i="1"/>
  <c r="F232" i="1"/>
  <c r="F262" i="1"/>
  <c r="F841" i="1"/>
  <c r="F979" i="1" s="1"/>
  <c r="L964" i="1"/>
  <c r="F961" i="1"/>
  <c r="F960" i="1" s="1"/>
  <c r="F959" i="1" s="1"/>
  <c r="G882" i="1"/>
  <c r="F882" i="1"/>
  <c r="K322" i="1"/>
  <c r="K961" i="1"/>
  <c r="K960" i="1" s="1"/>
  <c r="K959" i="1" s="1"/>
  <c r="K210" i="1"/>
  <c r="L753" i="1"/>
  <c r="N153" i="1"/>
  <c r="G153" i="1"/>
  <c r="M153" i="1"/>
  <c r="F153" i="1"/>
  <c r="L153" i="1" s="1"/>
  <c r="F211" i="1"/>
  <c r="L211" i="1" s="1"/>
  <c r="M211" i="1"/>
  <c r="N211" i="1" s="1"/>
  <c r="G211" i="1"/>
  <c r="L961" i="1"/>
  <c r="K950" i="1"/>
  <c r="L290" i="1"/>
  <c r="L339" i="1"/>
  <c r="L179" i="1"/>
  <c r="F424" i="1"/>
  <c r="G424" i="1"/>
  <c r="L579" i="1"/>
  <c r="L437" i="1"/>
  <c r="K398" i="1"/>
  <c r="N482" i="1"/>
  <c r="F762" i="1"/>
  <c r="M762" i="1"/>
  <c r="N762" i="1" s="1"/>
  <c r="G762" i="1"/>
  <c r="K902" i="1"/>
  <c r="K443" i="1"/>
  <c r="L813" i="1"/>
  <c r="F171" i="1"/>
  <c r="G171" i="1"/>
  <c r="K252" i="1"/>
  <c r="F475" i="1"/>
  <c r="K537" i="1"/>
  <c r="L646" i="1"/>
  <c r="G771" i="1"/>
  <c r="M771" i="1"/>
  <c r="F771" i="1"/>
  <c r="L771" i="1" s="1"/>
  <c r="K873" i="1"/>
  <c r="F28" i="1"/>
  <c r="L28" i="1" s="1"/>
  <c r="G28" i="1"/>
  <c r="K28" i="1"/>
  <c r="M28" i="1"/>
  <c r="K158" i="1"/>
  <c r="L360" i="1"/>
  <c r="L652" i="1"/>
  <c r="G660" i="1"/>
  <c r="F660" i="1"/>
  <c r="F807" i="1"/>
  <c r="L807" i="1" s="1"/>
  <c r="M807" i="1"/>
  <c r="G807" i="1"/>
  <c r="L840" i="1"/>
  <c r="L847" i="1"/>
  <c r="N958" i="1"/>
  <c r="L790" i="1"/>
  <c r="L452" i="1"/>
  <c r="G453" i="1"/>
  <c r="F453" i="1"/>
  <c r="K563" i="1"/>
  <c r="M754" i="1"/>
  <c r="F754" i="1"/>
  <c r="L754" i="1" s="1"/>
  <c r="G754" i="1"/>
  <c r="L331" i="1"/>
  <c r="K938" i="1"/>
  <c r="K75" i="1"/>
  <c r="K144" i="1"/>
  <c r="F408" i="1"/>
  <c r="G408" i="1"/>
  <c r="K408" i="1"/>
  <c r="L49" i="1"/>
  <c r="M300" i="1"/>
  <c r="N300" i="1" s="1"/>
  <c r="F300" i="1"/>
  <c r="L300" i="1" s="1"/>
  <c r="G300" i="1"/>
  <c r="L488" i="1"/>
  <c r="K903" i="1"/>
  <c r="K266" i="1"/>
  <c r="K388" i="1"/>
  <c r="F129" i="1"/>
  <c r="G129" i="1"/>
  <c r="K129" i="1"/>
  <c r="K170" i="1"/>
  <c r="N239" i="1"/>
  <c r="G538" i="1"/>
  <c r="F538" i="1"/>
  <c r="G647" i="1"/>
  <c r="F647" i="1"/>
  <c r="K828" i="1"/>
  <c r="G967" i="1"/>
  <c r="F104" i="1"/>
  <c r="G104" i="1"/>
  <c r="K104" i="1"/>
  <c r="G373" i="1"/>
  <c r="K373" i="1"/>
  <c r="F373" i="1"/>
  <c r="K479" i="1"/>
  <c r="L666" i="1"/>
  <c r="K790" i="1"/>
  <c r="L563" i="1"/>
  <c r="M626" i="1"/>
  <c r="N626" i="1" s="1"/>
  <c r="K626" i="1"/>
  <c r="F626" i="1"/>
  <c r="L626" i="1" s="1"/>
  <c r="G626" i="1"/>
  <c r="L152" i="1"/>
  <c r="L218" i="1"/>
  <c r="N269" i="1"/>
  <c r="L529" i="1"/>
  <c r="L638" i="1"/>
  <c r="K625" i="1"/>
  <c r="K12" i="1"/>
  <c r="L119" i="1"/>
  <c r="N235" i="1"/>
  <c r="K510" i="1"/>
  <c r="G939" i="1"/>
  <c r="F939" i="1"/>
  <c r="G856" i="1"/>
  <c r="F856" i="1"/>
  <c r="N44" i="1"/>
  <c r="L144" i="1"/>
  <c r="L316" i="1"/>
  <c r="L380" i="1"/>
  <c r="F831" i="1"/>
  <c r="K111" i="1"/>
  <c r="K299" i="1"/>
  <c r="L502" i="1"/>
  <c r="K399" i="1"/>
  <c r="G399" i="1"/>
  <c r="F399" i="1"/>
  <c r="L399" i="1" s="1"/>
  <c r="M399" i="1"/>
  <c r="N399" i="1" s="1"/>
  <c r="L482" i="1"/>
  <c r="F479" i="1"/>
  <c r="L705" i="1"/>
  <c r="L761" i="1"/>
  <c r="K780" i="1"/>
  <c r="K777" i="1" s="1"/>
  <c r="L35" i="1"/>
  <c r="L715" i="1"/>
  <c r="L729" i="1"/>
  <c r="L798" i="1"/>
  <c r="K20" i="1"/>
  <c r="K128" i="1"/>
  <c r="F228" i="1"/>
  <c r="L322" i="1"/>
  <c r="F686" i="1"/>
  <c r="K686" i="1"/>
  <c r="G686" i="1"/>
  <c r="L866" i="1"/>
  <c r="K874" i="1"/>
  <c r="M874" i="1"/>
  <c r="G874" i="1"/>
  <c r="F874" i="1"/>
  <c r="G137" i="1"/>
  <c r="F137" i="1"/>
  <c r="K96" i="1"/>
  <c r="G96" i="1"/>
  <c r="F96" i="1"/>
  <c r="K360" i="1"/>
  <c r="K572" i="1"/>
  <c r="L631" i="1"/>
  <c r="K309" i="1"/>
  <c r="N595" i="1"/>
  <c r="K722" i="1"/>
  <c r="F219" i="1"/>
  <c r="L219" i="1" s="1"/>
  <c r="M219" i="1"/>
  <c r="N219" i="1" s="1"/>
  <c r="G219" i="1"/>
  <c r="K530" i="1"/>
  <c r="F530" i="1"/>
  <c r="L530" i="1" s="1"/>
  <c r="G530" i="1"/>
  <c r="M530" i="1"/>
  <c r="G564" i="1"/>
  <c r="K564" i="1"/>
  <c r="F564" i="1"/>
  <c r="K883" i="1"/>
  <c r="L950" i="1"/>
  <c r="L12" i="1"/>
  <c r="F332" i="1"/>
  <c r="G332" i="1"/>
  <c r="K351" i="1"/>
  <c r="K349" i="1" s="1"/>
  <c r="L282" i="1"/>
  <c r="G697" i="1"/>
  <c r="F697" i="1"/>
  <c r="L423" i="1"/>
  <c r="L432" i="1"/>
  <c r="K381" i="1"/>
  <c r="G381" i="1"/>
  <c r="F381" i="1"/>
  <c r="F557" i="1"/>
  <c r="G557" i="1"/>
  <c r="K190" i="1"/>
  <c r="L245" i="1"/>
  <c r="K488" i="1"/>
  <c r="L398" i="1"/>
  <c r="N780" i="1"/>
  <c r="K35" i="1"/>
  <c r="L87" i="1"/>
  <c r="N415" i="1"/>
  <c r="G619" i="1"/>
  <c r="M619" i="1"/>
  <c r="F619" i="1"/>
  <c r="L619" i="1" s="1"/>
  <c r="M814" i="1"/>
  <c r="G814" i="1"/>
  <c r="F814" i="1"/>
  <c r="L814" i="1" s="1"/>
  <c r="F58" i="1"/>
  <c r="G58" i="1"/>
  <c r="G21" i="1"/>
  <c r="F21" i="1"/>
  <c r="K195" i="1"/>
  <c r="G195" i="1"/>
  <c r="F195" i="1"/>
  <c r="M195" i="1"/>
  <c r="N195" i="1" s="1"/>
  <c r="L128" i="1"/>
  <c r="G253" i="1"/>
  <c r="F253" i="1"/>
  <c r="K239" i="1"/>
  <c r="K236" i="1" s="1"/>
  <c r="K770" i="1"/>
  <c r="G867" i="1"/>
  <c r="F867" i="1"/>
  <c r="K27" i="1"/>
  <c r="K261" i="1"/>
  <c r="K258" i="1" s="1"/>
  <c r="L258" i="1"/>
  <c r="K667" i="1"/>
  <c r="G667" i="1"/>
  <c r="F667" i="1"/>
  <c r="K806" i="1"/>
  <c r="G972" i="1"/>
  <c r="K955" i="1"/>
  <c r="K954" i="1" s="1"/>
  <c r="K953" i="1" s="1"/>
  <c r="F955" i="1"/>
  <c r="F954" i="1" s="1"/>
  <c r="F953" i="1" s="1"/>
  <c r="K737" i="1"/>
  <c r="K928" i="1"/>
  <c r="L210" i="1"/>
  <c r="M639" i="1"/>
  <c r="N639" i="1" s="1"/>
  <c r="G639" i="1"/>
  <c r="F639" i="1"/>
  <c r="L639" i="1" s="1"/>
  <c r="K639" i="1"/>
  <c r="K884" i="1"/>
  <c r="K120" i="1"/>
  <c r="F120" i="1"/>
  <c r="G120" i="1"/>
  <c r="K478" i="1"/>
  <c r="K475" i="1" s="1"/>
  <c r="K677" i="1"/>
  <c r="K746" i="1"/>
  <c r="L855" i="1"/>
  <c r="K44" i="1"/>
  <c r="K41" i="1" s="1"/>
  <c r="K70" i="1"/>
  <c r="K67" i="1" s="1"/>
  <c r="G145" i="1"/>
  <c r="F145" i="1"/>
  <c r="L145" i="1" s="1"/>
  <c r="M145" i="1"/>
  <c r="N145" i="1" s="1"/>
  <c r="K204" i="1"/>
  <c r="G204" i="1"/>
  <c r="F204" i="1"/>
  <c r="L204" i="1" s="1"/>
  <c r="M204" i="1"/>
  <c r="N204" i="1" s="1"/>
  <c r="G317" i="1"/>
  <c r="F317" i="1"/>
  <c r="K407" i="1"/>
  <c r="G433" i="1"/>
  <c r="F433" i="1"/>
  <c r="L433" i="1" s="1"/>
  <c r="M433" i="1"/>
  <c r="K556" i="1"/>
  <c r="K610" i="1"/>
  <c r="K49" i="1"/>
  <c r="G246" i="1"/>
  <c r="F246" i="1"/>
  <c r="L275" i="1"/>
  <c r="F503" i="1"/>
  <c r="G503" i="1"/>
  <c r="K503" i="1"/>
  <c r="K705" i="1"/>
  <c r="L902" i="1"/>
  <c r="N231" i="1"/>
  <c r="M416" i="1"/>
  <c r="F416" i="1"/>
  <c r="G416" i="1"/>
  <c r="L443" i="1"/>
  <c r="L475" i="1"/>
  <c r="N618" i="1"/>
  <c r="K799" i="1"/>
  <c r="F799" i="1"/>
  <c r="G799" i="1"/>
  <c r="L252" i="1"/>
  <c r="L685" i="1"/>
  <c r="L828" i="1"/>
  <c r="L873" i="1"/>
  <c r="K232" i="1"/>
  <c r="L325" i="1"/>
  <c r="F322" i="1"/>
  <c r="N265" i="1"/>
  <c r="N372" i="1"/>
  <c r="F361" i="1"/>
  <c r="L361" i="1" s="1"/>
  <c r="M361" i="1"/>
  <c r="N361" i="1" s="1"/>
  <c r="G361" i="1"/>
  <c r="N544" i="1"/>
  <c r="K659" i="1"/>
  <c r="L917" i="1"/>
  <c r="F596" i="1"/>
  <c r="M596" i="1"/>
  <c r="G596" i="1"/>
  <c r="F723" i="1"/>
  <c r="M723" i="1"/>
  <c r="G723" i="1"/>
  <c r="N950" i="1"/>
  <c r="L41" i="1"/>
  <c r="F13" i="1"/>
  <c r="G13" i="1"/>
  <c r="L510" i="1"/>
  <c r="K601" i="1"/>
  <c r="L696" i="1"/>
  <c r="L677" i="1"/>
  <c r="F76" i="1"/>
  <c r="L76" i="1" s="1"/>
  <c r="M76" i="1"/>
  <c r="N76" i="1" s="1"/>
  <c r="G76" i="1"/>
  <c r="N70" i="1"/>
  <c r="L203" i="1"/>
  <c r="G180" i="1"/>
  <c r="K180" i="1"/>
  <c r="F180" i="1"/>
  <c r="K380" i="1"/>
  <c r="L556" i="1"/>
  <c r="N610" i="1"/>
  <c r="N299" i="1"/>
  <c r="G276" i="1"/>
  <c r="M276" i="1"/>
  <c r="N276" i="1" s="1"/>
  <c r="F276" i="1"/>
  <c r="L276" i="1" s="1"/>
  <c r="G88" i="1"/>
  <c r="F88" i="1"/>
  <c r="L67" i="1"/>
  <c r="L388" i="1"/>
  <c r="F444" i="1"/>
  <c r="G444" i="1"/>
  <c r="K798" i="1"/>
  <c r="K57" i="1"/>
  <c r="K194" i="1"/>
  <c r="L170" i="1"/>
  <c r="L537" i="1"/>
  <c r="F829" i="1"/>
  <c r="G829" i="1"/>
  <c r="K829" i="1"/>
  <c r="L136" i="1"/>
  <c r="L228" i="1"/>
  <c r="L261" i="1"/>
  <c r="F258" i="1"/>
  <c r="L908" i="1"/>
  <c r="L835" i="1"/>
  <c r="N309" i="1"/>
  <c r="G738" i="1"/>
  <c r="M738" i="1"/>
  <c r="F738" i="1"/>
  <c r="M791" i="1"/>
  <c r="N791" i="1" s="1"/>
  <c r="F791" i="1"/>
  <c r="G791" i="1"/>
  <c r="L893" i="1"/>
  <c r="F929" i="1"/>
  <c r="G929" i="1"/>
  <c r="K929" i="1"/>
  <c r="L625" i="1"/>
  <c r="K753" i="1"/>
  <c r="L883" i="1"/>
  <c r="L351" i="1"/>
  <c r="K283" i="1"/>
  <c r="F283" i="1"/>
  <c r="G283" i="1"/>
  <c r="F340" i="1"/>
  <c r="G340" i="1"/>
  <c r="F511" i="1"/>
  <c r="G511" i="1"/>
  <c r="L601" i="1"/>
  <c r="K678" i="1"/>
  <c r="F678" i="1"/>
  <c r="M678" i="1"/>
  <c r="G678" i="1"/>
  <c r="L842" i="1"/>
  <c r="L407" i="1"/>
  <c r="M580" i="1"/>
  <c r="N580" i="1" s="1"/>
  <c r="G580" i="1"/>
  <c r="F580" i="1"/>
  <c r="L580" i="1" s="1"/>
  <c r="G611" i="1"/>
  <c r="M611" i="1"/>
  <c r="F611" i="1"/>
  <c r="L611" i="1" s="1"/>
  <c r="L111" i="1"/>
  <c r="N398" i="1"/>
  <c r="K87" i="1"/>
  <c r="K389" i="1"/>
  <c r="G389" i="1"/>
  <c r="F389" i="1"/>
  <c r="L618" i="1"/>
  <c r="L20" i="1"/>
  <c r="L349" i="1"/>
  <c r="L479" i="1"/>
  <c r="K228" i="1"/>
  <c r="K265" i="1"/>
  <c r="K262" i="1" s="1"/>
  <c r="L262" i="1"/>
  <c r="K372" i="1"/>
  <c r="F573" i="1"/>
  <c r="L573" i="1" s="1"/>
  <c r="G573" i="1"/>
  <c r="M573" i="1"/>
  <c r="K666" i="1"/>
  <c r="G909" i="1"/>
  <c r="F909" i="1"/>
  <c r="F918" i="1"/>
  <c r="G918" i="1"/>
  <c r="K918" i="1"/>
  <c r="G894" i="1"/>
  <c r="F894" i="1"/>
  <c r="M951" i="1"/>
  <c r="K951" i="1"/>
  <c r="G951" i="1"/>
  <c r="F951" i="1"/>
  <c r="L951" i="1" s="1"/>
  <c r="M291" i="1"/>
  <c r="G291" i="1"/>
  <c r="F291" i="1"/>
  <c r="L291" i="1" s="1"/>
  <c r="G602" i="1"/>
  <c r="F602" i="1"/>
  <c r="F747" i="1"/>
  <c r="K747" i="1"/>
  <c r="M747" i="1"/>
  <c r="G747" i="1"/>
  <c r="L938" i="1"/>
  <c r="K203" i="1"/>
  <c r="F50" i="1"/>
  <c r="G50" i="1"/>
  <c r="K112" i="1"/>
  <c r="G112" i="1"/>
  <c r="F112" i="1"/>
  <c r="G489" i="1"/>
  <c r="M489" i="1"/>
  <c r="F489" i="1"/>
  <c r="L489" i="1" s="1"/>
  <c r="G706" i="1"/>
  <c r="M706" i="1"/>
  <c r="F706" i="1"/>
  <c r="K706" i="1"/>
  <c r="M36" i="1"/>
  <c r="N36" i="1" s="1"/>
  <c r="G36" i="1"/>
  <c r="F36" i="1"/>
  <c r="L36" i="1" s="1"/>
  <c r="K36" i="1"/>
  <c r="G716" i="1"/>
  <c r="M716" i="1"/>
  <c r="K716" i="1"/>
  <c r="F716" i="1"/>
  <c r="L716" i="1" s="1"/>
  <c r="K730" i="1"/>
  <c r="F730" i="1"/>
  <c r="L730" i="1" s="1"/>
  <c r="G730" i="1"/>
  <c r="M730" i="1"/>
  <c r="L57" i="1"/>
  <c r="L194" i="1"/>
  <c r="F266" i="1"/>
  <c r="L27" i="1"/>
  <c r="L103" i="1"/>
  <c r="L95" i="1"/>
  <c r="G545" i="1"/>
  <c r="F545" i="1"/>
  <c r="M545" i="1"/>
  <c r="L659" i="1"/>
  <c r="K840" i="1"/>
  <c r="K847" i="1"/>
  <c r="K845" i="1" s="1"/>
  <c r="K841" i="1" s="1"/>
  <c r="L266" i="1"/>
  <c r="K310" i="1"/>
  <c r="G310" i="1"/>
  <c r="F310" i="1"/>
  <c r="L737" i="1"/>
  <c r="K893" i="1"/>
  <c r="L928" i="1"/>
  <c r="F967" i="1"/>
  <c r="V25" i="2" l="1"/>
  <c r="U25" i="2"/>
  <c r="T25" i="2"/>
  <c r="S25" i="2"/>
  <c r="R25" i="2"/>
  <c r="S16" i="2"/>
  <c r="V16" i="2"/>
  <c r="U16" i="2"/>
  <c r="T16" i="2"/>
  <c r="Q14" i="2"/>
  <c r="R16" i="2"/>
  <c r="K989" i="1"/>
  <c r="F188" i="1"/>
  <c r="M188" i="1"/>
  <c r="N188" i="1" s="1"/>
  <c r="G188" i="1"/>
  <c r="G902" i="1"/>
  <c r="F902" i="1"/>
  <c r="G883" i="1"/>
  <c r="F883" i="1"/>
  <c r="G968" i="1"/>
  <c r="K967" i="1"/>
  <c r="L967" i="1" s="1"/>
  <c r="L678" i="1"/>
  <c r="N489" i="1"/>
  <c r="F113" i="1"/>
  <c r="G113" i="1"/>
  <c r="L602" i="1"/>
  <c r="F546" i="1"/>
  <c r="L546" i="1" s="1"/>
  <c r="K546" i="1"/>
  <c r="G546" i="1"/>
  <c r="M546" i="1"/>
  <c r="N546" i="1" s="1"/>
  <c r="N730" i="1"/>
  <c r="F717" i="1"/>
  <c r="M717" i="1"/>
  <c r="N717" i="1" s="1"/>
  <c r="G717" i="1"/>
  <c r="K838" i="1"/>
  <c r="K832" i="1" s="1"/>
  <c r="K831" i="1" s="1"/>
  <c r="F748" i="1"/>
  <c r="L748" i="1" s="1"/>
  <c r="G748" i="1"/>
  <c r="M748" i="1"/>
  <c r="N748" i="1" s="1"/>
  <c r="G952" i="1"/>
  <c r="G945" i="1" s="1"/>
  <c r="F952" i="1"/>
  <c r="K952" i="1"/>
  <c r="K945" i="1" s="1"/>
  <c r="K573" i="1"/>
  <c r="K611" i="1"/>
  <c r="L841" i="1"/>
  <c r="N678" i="1"/>
  <c r="G284" i="1"/>
  <c r="F284" i="1"/>
  <c r="F930" i="1"/>
  <c r="L930" i="1" s="1"/>
  <c r="G930" i="1"/>
  <c r="K930" i="1"/>
  <c r="M930" i="1"/>
  <c r="L738" i="1"/>
  <c r="L829" i="1"/>
  <c r="K444" i="1"/>
  <c r="M77" i="1"/>
  <c r="N77" i="1" s="1"/>
  <c r="F77" i="1"/>
  <c r="L77" i="1" s="1"/>
  <c r="G77" i="1"/>
  <c r="K723" i="1"/>
  <c r="G597" i="1"/>
  <c r="F597" i="1"/>
  <c r="G800" i="1"/>
  <c r="M800" i="1"/>
  <c r="N800" i="1" s="1"/>
  <c r="F800" i="1"/>
  <c r="L800" i="1" s="1"/>
  <c r="M434" i="1"/>
  <c r="N434" i="1" s="1"/>
  <c r="G434" i="1"/>
  <c r="K434" i="1"/>
  <c r="F434" i="1"/>
  <c r="L434" i="1" s="1"/>
  <c r="K317" i="1"/>
  <c r="G146" i="1"/>
  <c r="K146" i="1"/>
  <c r="F146" i="1"/>
  <c r="M146" i="1"/>
  <c r="L120" i="1"/>
  <c r="F968" i="1"/>
  <c r="G868" i="1"/>
  <c r="K868" i="1"/>
  <c r="F868" i="1"/>
  <c r="L868" i="1" s="1"/>
  <c r="M868" i="1"/>
  <c r="L955" i="1"/>
  <c r="G565" i="1"/>
  <c r="F565" i="1"/>
  <c r="M531" i="1"/>
  <c r="F531" i="1"/>
  <c r="L531" i="1" s="1"/>
  <c r="K531" i="1"/>
  <c r="G531" i="1"/>
  <c r="F400" i="1"/>
  <c r="G400" i="1"/>
  <c r="M400" i="1"/>
  <c r="K400" i="1"/>
  <c r="K647" i="1"/>
  <c r="L660" i="1"/>
  <c r="G772" i="1"/>
  <c r="M772" i="1"/>
  <c r="F772" i="1"/>
  <c r="K772" i="1"/>
  <c r="K171" i="1"/>
  <c r="K762" i="1"/>
  <c r="K153" i="1"/>
  <c r="G707" i="1"/>
  <c r="F707" i="1"/>
  <c r="G612" i="1"/>
  <c r="F612" i="1"/>
  <c r="L612" i="1" s="1"/>
  <c r="M612" i="1"/>
  <c r="K612" i="1"/>
  <c r="N738" i="1"/>
  <c r="K445" i="1"/>
  <c r="G445" i="1"/>
  <c r="F445" i="1"/>
  <c r="L88" i="1"/>
  <c r="L13" i="1"/>
  <c r="M724" i="1"/>
  <c r="K724" i="1"/>
  <c r="F724" i="1"/>
  <c r="L724" i="1" s="1"/>
  <c r="G724" i="1"/>
  <c r="K596" i="1"/>
  <c r="K417" i="1"/>
  <c r="G417" i="1"/>
  <c r="F417" i="1"/>
  <c r="F318" i="1"/>
  <c r="G318" i="1"/>
  <c r="F640" i="1"/>
  <c r="L640" i="1" s="1"/>
  <c r="M640" i="1"/>
  <c r="G640" i="1"/>
  <c r="L253" i="1"/>
  <c r="L58" i="1"/>
  <c r="L697" i="1"/>
  <c r="L332" i="1"/>
  <c r="L874" i="1"/>
  <c r="L856" i="1"/>
  <c r="L939" i="1"/>
  <c r="K648" i="1"/>
  <c r="G648" i="1"/>
  <c r="F648" i="1"/>
  <c r="L538" i="1"/>
  <c r="K300" i="1"/>
  <c r="K754" i="1"/>
  <c r="G172" i="1"/>
  <c r="F172" i="1"/>
  <c r="G763" i="1"/>
  <c r="F763" i="1"/>
  <c r="L763" i="1" s="1"/>
  <c r="M763" i="1"/>
  <c r="N763" i="1" s="1"/>
  <c r="G425" i="1"/>
  <c r="F425" i="1"/>
  <c r="L50" i="1"/>
  <c r="L894" i="1"/>
  <c r="N573" i="1"/>
  <c r="K511" i="1"/>
  <c r="G341" i="1"/>
  <c r="F341" i="1"/>
  <c r="L310" i="1"/>
  <c r="N716" i="1"/>
  <c r="L706" i="1"/>
  <c r="N706" i="1"/>
  <c r="L112" i="1"/>
  <c r="L747" i="1"/>
  <c r="N951" i="1"/>
  <c r="L909" i="1"/>
  <c r="G581" i="1"/>
  <c r="F581" i="1"/>
  <c r="L581" i="1" s="1"/>
  <c r="M581" i="1"/>
  <c r="N581" i="1" s="1"/>
  <c r="K972" i="1"/>
  <c r="L972" i="1" s="1"/>
  <c r="K88" i="1"/>
  <c r="F277" i="1"/>
  <c r="M277" i="1"/>
  <c r="N277" i="1" s="1"/>
  <c r="K277" i="1"/>
  <c r="G277" i="1"/>
  <c r="N723" i="1"/>
  <c r="K361" i="1"/>
  <c r="K416" i="1"/>
  <c r="L246" i="1"/>
  <c r="M205" i="1"/>
  <c r="G205" i="1"/>
  <c r="F205" i="1"/>
  <c r="G668" i="1"/>
  <c r="F668" i="1"/>
  <c r="L867" i="1"/>
  <c r="K21" i="1"/>
  <c r="G558" i="1"/>
  <c r="F558" i="1"/>
  <c r="M558" i="1"/>
  <c r="L381" i="1"/>
  <c r="L137" i="1"/>
  <c r="L686" i="1"/>
  <c r="K856" i="1"/>
  <c r="F374" i="1"/>
  <c r="F367" i="1" s="1"/>
  <c r="F366" i="1" s="1"/>
  <c r="G374" i="1"/>
  <c r="G367" i="1" s="1"/>
  <c r="G366" i="1" s="1"/>
  <c r="F755" i="1"/>
  <c r="L755" i="1" s="1"/>
  <c r="G755" i="1"/>
  <c r="M755" i="1"/>
  <c r="N755" i="1" s="1"/>
  <c r="F454" i="1"/>
  <c r="L454" i="1" s="1"/>
  <c r="M454" i="1"/>
  <c r="G454" i="1"/>
  <c r="K807" i="1"/>
  <c r="M661" i="1"/>
  <c r="N661" i="1" s="1"/>
  <c r="G661" i="1"/>
  <c r="F661" i="1"/>
  <c r="L661" i="1" s="1"/>
  <c r="F29" i="1"/>
  <c r="G29" i="1"/>
  <c r="M29" i="1"/>
  <c r="K191" i="1"/>
  <c r="K184" i="1" s="1"/>
  <c r="F311" i="1"/>
  <c r="L311" i="1" s="1"/>
  <c r="G311" i="1"/>
  <c r="M311" i="1"/>
  <c r="N311" i="1" s="1"/>
  <c r="K311" i="1"/>
  <c r="N545" i="1"/>
  <c r="M731" i="1"/>
  <c r="N731" i="1" s="1"/>
  <c r="G731" i="1"/>
  <c r="F731" i="1"/>
  <c r="L731" i="1" s="1"/>
  <c r="M37" i="1"/>
  <c r="N37" i="1" s="1"/>
  <c r="K37" i="1"/>
  <c r="G37" i="1"/>
  <c r="F37" i="1"/>
  <c r="L37" i="1" s="1"/>
  <c r="K909" i="1"/>
  <c r="F574" i="1"/>
  <c r="L574" i="1" s="1"/>
  <c r="M574" i="1"/>
  <c r="K574" i="1"/>
  <c r="G574" i="1"/>
  <c r="K340" i="1"/>
  <c r="L180" i="1"/>
  <c r="N596" i="1"/>
  <c r="M362" i="1"/>
  <c r="F362" i="1"/>
  <c r="L362" i="1" s="1"/>
  <c r="G362" i="1"/>
  <c r="L799" i="1"/>
  <c r="L416" i="1"/>
  <c r="L503" i="1"/>
  <c r="K253" i="1"/>
  <c r="L195" i="1"/>
  <c r="K58" i="1"/>
  <c r="K814" i="1"/>
  <c r="F382" i="1"/>
  <c r="G382" i="1"/>
  <c r="L564" i="1"/>
  <c r="L96" i="1"/>
  <c r="F138" i="1"/>
  <c r="G138" i="1"/>
  <c r="N874" i="1"/>
  <c r="K857" i="1"/>
  <c r="G857" i="1"/>
  <c r="F857" i="1"/>
  <c r="M105" i="1"/>
  <c r="G105" i="1"/>
  <c r="F105" i="1"/>
  <c r="L105" i="1" s="1"/>
  <c r="G130" i="1"/>
  <c r="F130" i="1"/>
  <c r="K904" i="1"/>
  <c r="F301" i="1"/>
  <c r="M301" i="1"/>
  <c r="N301" i="1" s="1"/>
  <c r="G301" i="1"/>
  <c r="K453" i="1"/>
  <c r="L845" i="1"/>
  <c r="F808" i="1"/>
  <c r="L808" i="1" s="1"/>
  <c r="M808" i="1"/>
  <c r="N808" i="1" s="1"/>
  <c r="G808" i="1"/>
  <c r="K660" i="1"/>
  <c r="N28" i="1"/>
  <c r="K424" i="1"/>
  <c r="F212" i="1"/>
  <c r="L212" i="1" s="1"/>
  <c r="M212" i="1"/>
  <c r="G212" i="1"/>
  <c r="K489" i="1"/>
  <c r="N291" i="1"/>
  <c r="K545" i="1"/>
  <c r="G51" i="1"/>
  <c r="F51" i="1"/>
  <c r="L51" i="1" s="1"/>
  <c r="M51" i="1"/>
  <c r="N51" i="1" s="1"/>
  <c r="F603" i="1"/>
  <c r="G603" i="1"/>
  <c r="G292" i="1"/>
  <c r="K292" i="1"/>
  <c r="F292" i="1"/>
  <c r="L292" i="1" s="1"/>
  <c r="M292" i="1"/>
  <c r="N292" i="1" s="1"/>
  <c r="G919" i="1"/>
  <c r="M919" i="1"/>
  <c r="F919" i="1"/>
  <c r="G910" i="1"/>
  <c r="K910" i="1"/>
  <c r="F910" i="1"/>
  <c r="L340" i="1"/>
  <c r="L283" i="1"/>
  <c r="K738" i="1"/>
  <c r="L444" i="1"/>
  <c r="K276" i="1"/>
  <c r="K13" i="1"/>
  <c r="L723" i="1"/>
  <c r="L596" i="1"/>
  <c r="K504" i="1"/>
  <c r="G504" i="1"/>
  <c r="F504" i="1"/>
  <c r="N433" i="1"/>
  <c r="K867" i="1"/>
  <c r="K254" i="1"/>
  <c r="G254" i="1"/>
  <c r="F254" i="1"/>
  <c r="L21" i="1"/>
  <c r="K59" i="1"/>
  <c r="G59" i="1"/>
  <c r="F59" i="1"/>
  <c r="N814" i="1"/>
  <c r="K557" i="1"/>
  <c r="N530" i="1"/>
  <c r="F940" i="1"/>
  <c r="L940" i="1" s="1"/>
  <c r="M940" i="1"/>
  <c r="G940" i="1"/>
  <c r="L373" i="1"/>
  <c r="L104" i="1"/>
  <c r="G539" i="1"/>
  <c r="K539" i="1"/>
  <c r="F539" i="1"/>
  <c r="N754" i="1"/>
  <c r="L171" i="1"/>
  <c r="K211" i="1"/>
  <c r="F154" i="1"/>
  <c r="G154" i="1"/>
  <c r="M154" i="1"/>
  <c r="K602" i="1"/>
  <c r="L545" i="1"/>
  <c r="K50" i="1"/>
  <c r="F895" i="1"/>
  <c r="L895" i="1" s="1"/>
  <c r="G895" i="1"/>
  <c r="M895" i="1"/>
  <c r="L918" i="1"/>
  <c r="L389" i="1"/>
  <c r="F679" i="1"/>
  <c r="L679" i="1" s="1"/>
  <c r="G679" i="1"/>
  <c r="M679" i="1"/>
  <c r="N679" i="1" s="1"/>
  <c r="L511" i="1"/>
  <c r="L929" i="1"/>
  <c r="K791" i="1"/>
  <c r="L791" i="1" s="1"/>
  <c r="M739" i="1"/>
  <c r="N739" i="1" s="1"/>
  <c r="F739" i="1"/>
  <c r="L739" i="1" s="1"/>
  <c r="G739" i="1"/>
  <c r="K76" i="1"/>
  <c r="M14" i="1"/>
  <c r="G14" i="1"/>
  <c r="F14" i="1"/>
  <c r="K433" i="1"/>
  <c r="G121" i="1"/>
  <c r="F121" i="1"/>
  <c r="L121" i="1" s="1"/>
  <c r="M121" i="1"/>
  <c r="M815" i="1"/>
  <c r="G815" i="1"/>
  <c r="K815" i="1"/>
  <c r="F815" i="1"/>
  <c r="L815" i="1" s="1"/>
  <c r="K619" i="1"/>
  <c r="L777" i="1"/>
  <c r="G698" i="1"/>
  <c r="M698" i="1"/>
  <c r="F698" i="1"/>
  <c r="L698" i="1" s="1"/>
  <c r="F333" i="1"/>
  <c r="G333" i="1"/>
  <c r="K219" i="1"/>
  <c r="K137" i="1"/>
  <c r="G687" i="1"/>
  <c r="M687" i="1"/>
  <c r="N687" i="1" s="1"/>
  <c r="F687" i="1"/>
  <c r="L687" i="1" s="1"/>
  <c r="K538" i="1"/>
  <c r="L129" i="1"/>
  <c r="L408" i="1"/>
  <c r="F792" i="1"/>
  <c r="G792" i="1"/>
  <c r="F830" i="1"/>
  <c r="G830" i="1"/>
  <c r="G825" i="1" s="1"/>
  <c r="G820" i="1" s="1"/>
  <c r="G819" i="1" s="1"/>
  <c r="M830" i="1"/>
  <c r="K181" i="1"/>
  <c r="G181" i="1"/>
  <c r="M181" i="1"/>
  <c r="F181" i="1"/>
  <c r="L181" i="1" s="1"/>
  <c r="L838" i="1"/>
  <c r="N416" i="1"/>
  <c r="K246" i="1"/>
  <c r="G22" i="1"/>
  <c r="F22" i="1"/>
  <c r="G620" i="1"/>
  <c r="F620" i="1"/>
  <c r="M620" i="1"/>
  <c r="N620" i="1" s="1"/>
  <c r="K332" i="1"/>
  <c r="F945" i="1"/>
  <c r="M220" i="1"/>
  <c r="F220" i="1"/>
  <c r="L220" i="1" s="1"/>
  <c r="G220" i="1"/>
  <c r="G97" i="1"/>
  <c r="F97" i="1"/>
  <c r="K939" i="1"/>
  <c r="F627" i="1"/>
  <c r="L627" i="1" s="1"/>
  <c r="G627" i="1"/>
  <c r="M627" i="1"/>
  <c r="L453" i="1"/>
  <c r="L309" i="1"/>
  <c r="K771" i="1"/>
  <c r="L762" i="1"/>
  <c r="L959" i="1"/>
  <c r="L960" i="1"/>
  <c r="F490" i="1"/>
  <c r="L490" i="1" s="1"/>
  <c r="M490" i="1"/>
  <c r="N490" i="1" s="1"/>
  <c r="G490" i="1"/>
  <c r="N747" i="1"/>
  <c r="K291" i="1"/>
  <c r="K894" i="1"/>
  <c r="G390" i="1"/>
  <c r="M390" i="1"/>
  <c r="N390" i="1" s="1"/>
  <c r="F390" i="1"/>
  <c r="L390" i="1" s="1"/>
  <c r="N611" i="1"/>
  <c r="K580" i="1"/>
  <c r="K512" i="1"/>
  <c r="G512" i="1"/>
  <c r="F512" i="1"/>
  <c r="G89" i="1"/>
  <c r="F89" i="1"/>
  <c r="M247" i="1"/>
  <c r="N247" i="1" s="1"/>
  <c r="K247" i="1"/>
  <c r="G247" i="1"/>
  <c r="F247" i="1"/>
  <c r="L317" i="1"/>
  <c r="K145" i="1"/>
  <c r="L884" i="1"/>
  <c r="L667" i="1"/>
  <c r="M196" i="1"/>
  <c r="N196" i="1" s="1"/>
  <c r="F196" i="1"/>
  <c r="L196" i="1" s="1"/>
  <c r="K196" i="1"/>
  <c r="G196" i="1"/>
  <c r="L953" i="1"/>
  <c r="L954" i="1"/>
  <c r="N619" i="1"/>
  <c r="L557" i="1"/>
  <c r="K697" i="1"/>
  <c r="M875" i="1"/>
  <c r="G875" i="1"/>
  <c r="F875" i="1"/>
  <c r="L875" i="1" s="1"/>
  <c r="L232" i="1"/>
  <c r="L647" i="1"/>
  <c r="G409" i="1"/>
  <c r="M409" i="1"/>
  <c r="K409" i="1"/>
  <c r="F409" i="1"/>
  <c r="L409" i="1" s="1"/>
  <c r="N807" i="1"/>
  <c r="N771" i="1"/>
  <c r="L424" i="1"/>
  <c r="Q44" i="2" l="1"/>
  <c r="V14" i="2"/>
  <c r="U14" i="2"/>
  <c r="T14" i="2"/>
  <c r="Q13" i="2"/>
  <c r="R14" i="2"/>
  <c r="R44" i="2" s="1"/>
  <c r="S14" i="2"/>
  <c r="S44" i="2" s="1"/>
  <c r="L188" i="1"/>
  <c r="F189" i="1"/>
  <c r="L189" i="1" s="1"/>
  <c r="M189" i="1"/>
  <c r="N189" i="1" s="1"/>
  <c r="G189" i="1"/>
  <c r="G969" i="1"/>
  <c r="F884" i="1"/>
  <c r="G884" i="1"/>
  <c r="G903" i="1"/>
  <c r="F903" i="1"/>
  <c r="L903" i="1" s="1"/>
  <c r="M903" i="1"/>
  <c r="N903" i="1" s="1"/>
  <c r="K943" i="1"/>
  <c r="K944" i="1"/>
  <c r="G943" i="1"/>
  <c r="G944" i="1"/>
  <c r="L825" i="1"/>
  <c r="G491" i="1"/>
  <c r="F491" i="1"/>
  <c r="L491" i="1" s="1"/>
  <c r="M491" i="1"/>
  <c r="N491" i="1" s="1"/>
  <c r="K491" i="1"/>
  <c r="L830" i="1"/>
  <c r="F983" i="1"/>
  <c r="F966" i="1"/>
  <c r="F334" i="1"/>
  <c r="M334" i="1"/>
  <c r="N334" i="1" s="1"/>
  <c r="G334" i="1"/>
  <c r="N698" i="1"/>
  <c r="N121" i="1"/>
  <c r="L539" i="1"/>
  <c r="M920" i="1"/>
  <c r="G920" i="1"/>
  <c r="F920" i="1"/>
  <c r="L920" i="1" s="1"/>
  <c r="K105" i="1"/>
  <c r="L138" i="1"/>
  <c r="K732" i="1"/>
  <c r="G732" i="1"/>
  <c r="F732" i="1"/>
  <c r="L732" i="1" s="1"/>
  <c r="M732" i="1"/>
  <c r="K374" i="1"/>
  <c r="K367" i="1" s="1"/>
  <c r="K366" i="1" s="1"/>
  <c r="L277" i="1"/>
  <c r="K342" i="1"/>
  <c r="F342" i="1"/>
  <c r="L342" i="1" s="1"/>
  <c r="G342" i="1"/>
  <c r="M342" i="1"/>
  <c r="K425" i="1"/>
  <c r="L648" i="1"/>
  <c r="L247" i="1"/>
  <c r="F90" i="1"/>
  <c r="G90" i="1"/>
  <c r="M90" i="1"/>
  <c r="M628" i="1"/>
  <c r="N628" i="1" s="1"/>
  <c r="K628" i="1"/>
  <c r="G628" i="1"/>
  <c r="F628" i="1"/>
  <c r="L628" i="1" s="1"/>
  <c r="K220" i="1"/>
  <c r="F23" i="1"/>
  <c r="K23" i="1"/>
  <c r="G23" i="1"/>
  <c r="K885" i="1"/>
  <c r="K121" i="1"/>
  <c r="N154" i="1"/>
  <c r="K940" i="1"/>
  <c r="L59" i="1"/>
  <c r="K51" i="1"/>
  <c r="F213" i="1"/>
  <c r="L213" i="1" s="1"/>
  <c r="M213" i="1"/>
  <c r="G213" i="1"/>
  <c r="K213" i="1"/>
  <c r="L904" i="1"/>
  <c r="F131" i="1"/>
  <c r="L131" i="1" s="1"/>
  <c r="G131" i="1"/>
  <c r="M131" i="1"/>
  <c r="K131" i="1"/>
  <c r="L382" i="1"/>
  <c r="K362" i="1"/>
  <c r="G455" i="1"/>
  <c r="K455" i="1"/>
  <c r="F455" i="1"/>
  <c r="N205" i="1"/>
  <c r="L425" i="1"/>
  <c r="F764" i="1"/>
  <c r="M764" i="1"/>
  <c r="N764" i="1"/>
  <c r="G764" i="1"/>
  <c r="K640" i="1"/>
  <c r="G319" i="1"/>
  <c r="M319" i="1"/>
  <c r="N319" i="1" s="1"/>
  <c r="K319" i="1"/>
  <c r="F319" i="1"/>
  <c r="M446" i="1"/>
  <c r="G446" i="1"/>
  <c r="F446" i="1"/>
  <c r="L446" i="1" s="1"/>
  <c r="K707" i="1"/>
  <c r="L772" i="1"/>
  <c r="G401" i="1"/>
  <c r="M401" i="1"/>
  <c r="F401" i="1"/>
  <c r="L401" i="1" s="1"/>
  <c r="K565" i="1"/>
  <c r="G147" i="1"/>
  <c r="K147" i="1"/>
  <c r="M147" i="1"/>
  <c r="F147" i="1"/>
  <c r="L147" i="1" s="1"/>
  <c r="F801" i="1"/>
  <c r="L801" i="1" s="1"/>
  <c r="K801" i="1"/>
  <c r="G801" i="1"/>
  <c r="M801" i="1"/>
  <c r="M78" i="1"/>
  <c r="G78" i="1"/>
  <c r="G71" i="1" s="1"/>
  <c r="F78" i="1"/>
  <c r="N930" i="1"/>
  <c r="K284" i="1"/>
  <c r="G718" i="1"/>
  <c r="G711" i="1" s="1"/>
  <c r="F718" i="1"/>
  <c r="F711" i="1" s="1"/>
  <c r="K113" i="1"/>
  <c r="F944" i="1"/>
  <c r="F943" i="1"/>
  <c r="N875" i="1"/>
  <c r="N197" i="1"/>
  <c r="G197" i="1"/>
  <c r="F197" i="1"/>
  <c r="L197" i="1" s="1"/>
  <c r="M197" i="1"/>
  <c r="N409" i="1"/>
  <c r="K248" i="1"/>
  <c r="G248" i="1"/>
  <c r="M248" i="1"/>
  <c r="N248" i="1" s="1"/>
  <c r="F248" i="1"/>
  <c r="L512" i="1"/>
  <c r="K490" i="1"/>
  <c r="K627" i="1"/>
  <c r="K22" i="1"/>
  <c r="L831" i="1"/>
  <c r="L832" i="1"/>
  <c r="N181" i="1"/>
  <c r="F793" i="1"/>
  <c r="L793" i="1" s="1"/>
  <c r="G793" i="1"/>
  <c r="M793" i="1"/>
  <c r="N793" i="1" s="1"/>
  <c r="M816" i="1"/>
  <c r="F816" i="1"/>
  <c r="L816" i="1" s="1"/>
  <c r="K816" i="1"/>
  <c r="G816" i="1"/>
  <c r="N895" i="1"/>
  <c r="L504" i="1"/>
  <c r="M911" i="1"/>
  <c r="G911" i="1"/>
  <c r="F911" i="1"/>
  <c r="G604" i="1"/>
  <c r="M604" i="1"/>
  <c r="N604" i="1" s="1"/>
  <c r="F604" i="1"/>
  <c r="L604" i="1" s="1"/>
  <c r="F809" i="1"/>
  <c r="L809" i="1" s="1"/>
  <c r="K809" i="1"/>
  <c r="M809" i="1"/>
  <c r="G809" i="1"/>
  <c r="K302" i="1"/>
  <c r="G302" i="1"/>
  <c r="F302" i="1"/>
  <c r="L302" i="1" s="1"/>
  <c r="M302" i="1"/>
  <c r="N105" i="1"/>
  <c r="K858" i="1"/>
  <c r="G858" i="1"/>
  <c r="F858" i="1"/>
  <c r="K138" i="1"/>
  <c r="M383" i="1"/>
  <c r="G383" i="1"/>
  <c r="F383" i="1"/>
  <c r="L383" i="1" s="1"/>
  <c r="K383" i="1"/>
  <c r="F575" i="1"/>
  <c r="L575" i="1" s="1"/>
  <c r="M575" i="1"/>
  <c r="N575" i="1" s="1"/>
  <c r="G575" i="1"/>
  <c r="K575" i="1"/>
  <c r="M38" i="1"/>
  <c r="N38" i="1" s="1"/>
  <c r="K38" i="1"/>
  <c r="G38" i="1"/>
  <c r="F38" i="1"/>
  <c r="L38" i="1" s="1"/>
  <c r="K731" i="1"/>
  <c r="M30" i="1"/>
  <c r="F30" i="1"/>
  <c r="L30" i="1" s="1"/>
  <c r="G30" i="1"/>
  <c r="M662" i="1"/>
  <c r="G662" i="1"/>
  <c r="F662" i="1"/>
  <c r="L662" i="1" s="1"/>
  <c r="K454" i="1"/>
  <c r="K755" i="1"/>
  <c r="L668" i="1"/>
  <c r="G206" i="1"/>
  <c r="F206" i="1"/>
  <c r="L206" i="1" s="1"/>
  <c r="M206" i="1"/>
  <c r="N206" i="1" s="1"/>
  <c r="G278" i="1"/>
  <c r="M278" i="1"/>
  <c r="F278" i="1"/>
  <c r="L278" i="1" s="1"/>
  <c r="K172" i="1"/>
  <c r="F418" i="1"/>
  <c r="M418" i="1"/>
  <c r="G418" i="1"/>
  <c r="L707" i="1"/>
  <c r="L400" i="1"/>
  <c r="K532" i="1"/>
  <c r="G532" i="1"/>
  <c r="F532" i="1"/>
  <c r="L565" i="1"/>
  <c r="K597" i="1"/>
  <c r="F98" i="1"/>
  <c r="G98" i="1"/>
  <c r="N220" i="1"/>
  <c r="N830" i="1"/>
  <c r="L333" i="1"/>
  <c r="L14" i="1"/>
  <c r="G740" i="1"/>
  <c r="F740" i="1"/>
  <c r="L740" i="1" s="1"/>
  <c r="M740" i="1"/>
  <c r="K895" i="1"/>
  <c r="M155" i="1"/>
  <c r="N155" i="1" s="1"/>
  <c r="F155" i="1"/>
  <c r="L155" i="1" s="1"/>
  <c r="K155" i="1"/>
  <c r="G155" i="1"/>
  <c r="F941" i="1"/>
  <c r="L941" i="1" s="1"/>
  <c r="G941" i="1"/>
  <c r="M941" i="1"/>
  <c r="G60" i="1"/>
  <c r="F60" i="1"/>
  <c r="L919" i="1"/>
  <c r="L130" i="1"/>
  <c r="M139" i="1"/>
  <c r="N139" i="1" s="1"/>
  <c r="G139" i="1"/>
  <c r="F139" i="1"/>
  <c r="L139" i="1" s="1"/>
  <c r="K661" i="1"/>
  <c r="N454" i="1"/>
  <c r="L374" i="1"/>
  <c r="N558" i="1"/>
  <c r="L205" i="1"/>
  <c r="L341" i="1"/>
  <c r="G641" i="1"/>
  <c r="F641" i="1"/>
  <c r="L641" i="1" s="1"/>
  <c r="M641" i="1"/>
  <c r="N641" i="1" s="1"/>
  <c r="K318" i="1"/>
  <c r="M613" i="1"/>
  <c r="F613" i="1"/>
  <c r="L613" i="1" s="1"/>
  <c r="G613" i="1"/>
  <c r="M869" i="1"/>
  <c r="N869" i="1" s="1"/>
  <c r="G869" i="1"/>
  <c r="F869" i="1"/>
  <c r="L869" i="1" s="1"/>
  <c r="L146" i="1"/>
  <c r="K800" i="1"/>
  <c r="K77" i="1"/>
  <c r="G114" i="1"/>
  <c r="F114" i="1"/>
  <c r="G410" i="1"/>
  <c r="G403" i="1" s="1"/>
  <c r="F410" i="1"/>
  <c r="K876" i="1"/>
  <c r="G876" i="1"/>
  <c r="F876" i="1"/>
  <c r="L876" i="1" s="1"/>
  <c r="M876" i="1"/>
  <c r="F221" i="1"/>
  <c r="L221" i="1" s="1"/>
  <c r="G221" i="1"/>
  <c r="M221" i="1"/>
  <c r="N221" i="1" s="1"/>
  <c r="L620" i="1"/>
  <c r="L22" i="1"/>
  <c r="K698" i="1"/>
  <c r="N815" i="1"/>
  <c r="L885" i="1"/>
  <c r="F122" i="1"/>
  <c r="L122" i="1" s="1"/>
  <c r="G122" i="1"/>
  <c r="M122" i="1"/>
  <c r="N122" i="1" s="1"/>
  <c r="G15" i="1"/>
  <c r="F15" i="1"/>
  <c r="N919" i="1"/>
  <c r="K603" i="1"/>
  <c r="N212" i="1"/>
  <c r="L301" i="1"/>
  <c r="K382" i="1"/>
  <c r="K29" i="1"/>
  <c r="K581" i="1"/>
  <c r="L172" i="1"/>
  <c r="L417" i="1"/>
  <c r="F725" i="1"/>
  <c r="M725" i="1"/>
  <c r="G725" i="1"/>
  <c r="L445" i="1"/>
  <c r="N772" i="1"/>
  <c r="G931" i="1"/>
  <c r="F931" i="1"/>
  <c r="L284" i="1"/>
  <c r="L952" i="1"/>
  <c r="L89" i="1"/>
  <c r="L97" i="1"/>
  <c r="F680" i="1"/>
  <c r="G680" i="1"/>
  <c r="K680" i="1"/>
  <c r="G896" i="1"/>
  <c r="F896" i="1"/>
  <c r="L154" i="1"/>
  <c r="L603" i="1"/>
  <c r="K130" i="1"/>
  <c r="N362" i="1"/>
  <c r="L29" i="1"/>
  <c r="L558" i="1"/>
  <c r="M669" i="1"/>
  <c r="N669" i="1" s="1"/>
  <c r="G669" i="1"/>
  <c r="F669" i="1"/>
  <c r="K205" i="1"/>
  <c r="L184" i="1"/>
  <c r="N640" i="1"/>
  <c r="L318" i="1"/>
  <c r="G708" i="1"/>
  <c r="F708" i="1"/>
  <c r="L708" i="1" s="1"/>
  <c r="M708" i="1"/>
  <c r="G566" i="1"/>
  <c r="F566" i="1"/>
  <c r="L597" i="1"/>
  <c r="K620" i="1"/>
  <c r="K830" i="1"/>
  <c r="L945" i="1"/>
  <c r="L943" i="1"/>
  <c r="L944" i="1"/>
  <c r="K875" i="1"/>
  <c r="M391" i="1"/>
  <c r="N391" i="1" s="1"/>
  <c r="G391" i="1"/>
  <c r="F391" i="1"/>
  <c r="L391" i="1" s="1"/>
  <c r="N627" i="1"/>
  <c r="K97" i="1"/>
  <c r="G182" i="1"/>
  <c r="F182" i="1"/>
  <c r="L182" i="1" s="1"/>
  <c r="M182" i="1"/>
  <c r="N182" i="1" s="1"/>
  <c r="G966" i="1"/>
  <c r="G983" i="1"/>
  <c r="K687" i="1"/>
  <c r="K333" i="1"/>
  <c r="K14" i="1"/>
  <c r="F540" i="1"/>
  <c r="G540" i="1"/>
  <c r="K968" i="1"/>
  <c r="L968" i="1" s="1"/>
  <c r="N940" i="1"/>
  <c r="G255" i="1"/>
  <c r="F255" i="1"/>
  <c r="M255" i="1"/>
  <c r="N255" i="1" s="1"/>
  <c r="M293" i="1"/>
  <c r="N293" i="1" s="1"/>
  <c r="F293" i="1"/>
  <c r="L293" i="1" s="1"/>
  <c r="G293" i="1"/>
  <c r="G52" i="1"/>
  <c r="M52" i="1"/>
  <c r="N52" i="1" s="1"/>
  <c r="F52" i="1"/>
  <c r="L52" i="1" s="1"/>
  <c r="F106" i="1"/>
  <c r="G106" i="1"/>
  <c r="L857" i="1"/>
  <c r="F969" i="1"/>
  <c r="N574" i="1"/>
  <c r="K558" i="1"/>
  <c r="K668" i="1"/>
  <c r="F426" i="1"/>
  <c r="G426" i="1"/>
  <c r="N146" i="1"/>
  <c r="G435" i="1"/>
  <c r="F435" i="1"/>
  <c r="G285" i="1"/>
  <c r="F285" i="1"/>
  <c r="F749" i="1"/>
  <c r="M749" i="1"/>
  <c r="G749" i="1"/>
  <c r="L113" i="1"/>
  <c r="L792" i="1"/>
  <c r="K89" i="1"/>
  <c r="G513" i="1"/>
  <c r="F513" i="1"/>
  <c r="M513" i="1"/>
  <c r="N513" i="1" s="1"/>
  <c r="K390" i="1"/>
  <c r="F621" i="1"/>
  <c r="L621" i="1" s="1"/>
  <c r="M621" i="1"/>
  <c r="G621" i="1"/>
  <c r="K792" i="1"/>
  <c r="G688" i="1"/>
  <c r="F688" i="1"/>
  <c r="K699" i="1"/>
  <c r="G699" i="1"/>
  <c r="F699" i="1"/>
  <c r="N14" i="1"/>
  <c r="K739" i="1"/>
  <c r="K679" i="1"/>
  <c r="K154" i="1"/>
  <c r="L254" i="1"/>
  <c r="F505" i="1"/>
  <c r="G505" i="1"/>
  <c r="M505" i="1"/>
  <c r="N505" i="1" s="1"/>
  <c r="L910" i="1"/>
  <c r="K919" i="1"/>
  <c r="K212" i="1"/>
  <c r="K808" i="1"/>
  <c r="K301" i="1"/>
  <c r="K363" i="1"/>
  <c r="F363" i="1"/>
  <c r="L363" i="1" s="1"/>
  <c r="G363" i="1"/>
  <c r="M363" i="1"/>
  <c r="N363" i="1" s="1"/>
  <c r="M312" i="1"/>
  <c r="G312" i="1"/>
  <c r="F312" i="1"/>
  <c r="L312" i="1" s="1"/>
  <c r="N29" i="1"/>
  <c r="M756" i="1"/>
  <c r="F756" i="1"/>
  <c r="G756" i="1"/>
  <c r="G559" i="1"/>
  <c r="F559" i="1"/>
  <c r="K559" i="1"/>
  <c r="M582" i="1"/>
  <c r="F582" i="1"/>
  <c r="L582" i="1" s="1"/>
  <c r="G582" i="1"/>
  <c r="K341" i="1"/>
  <c r="K763" i="1"/>
  <c r="M173" i="1"/>
  <c r="N173" i="1" s="1"/>
  <c r="G173" i="1"/>
  <c r="F173" i="1"/>
  <c r="F403" i="1"/>
  <c r="M649" i="1"/>
  <c r="N649" i="1" s="1"/>
  <c r="G649" i="1"/>
  <c r="F649" i="1"/>
  <c r="L649" i="1" s="1"/>
  <c r="N724" i="1"/>
  <c r="F825" i="1"/>
  <c r="F820" i="1" s="1"/>
  <c r="F819" i="1" s="1"/>
  <c r="N612" i="1"/>
  <c r="G773" i="1"/>
  <c r="M773" i="1"/>
  <c r="F773" i="1"/>
  <c r="L773" i="1" s="1"/>
  <c r="N400" i="1"/>
  <c r="N531" i="1"/>
  <c r="N868" i="1"/>
  <c r="F598" i="1"/>
  <c r="F591" i="1" s="1"/>
  <c r="G598" i="1"/>
  <c r="G591" i="1" s="1"/>
  <c r="K748" i="1"/>
  <c r="K717" i="1"/>
  <c r="L717" i="1" s="1"/>
  <c r="F547" i="1"/>
  <c r="M547" i="1"/>
  <c r="G547" i="1"/>
  <c r="V13" i="2" l="1"/>
  <c r="U13" i="2"/>
  <c r="T13" i="2"/>
  <c r="R13" i="2"/>
  <c r="Q39" i="2"/>
  <c r="S13" i="2"/>
  <c r="T44" i="2"/>
  <c r="U44" i="2"/>
  <c r="V44" i="2"/>
  <c r="G190" i="1"/>
  <c r="F190" i="1"/>
  <c r="L190" i="1" s="1"/>
  <c r="M190" i="1"/>
  <c r="N190" i="1" s="1"/>
  <c r="G885" i="1"/>
  <c r="F885" i="1"/>
  <c r="G970" i="1"/>
  <c r="G904" i="1"/>
  <c r="F904" i="1"/>
  <c r="L898" i="1"/>
  <c r="L749" i="1"/>
  <c r="K506" i="1"/>
  <c r="G506" i="1"/>
  <c r="F506" i="1"/>
  <c r="G514" i="1"/>
  <c r="F514" i="1"/>
  <c r="F750" i="1"/>
  <c r="L750" i="1" s="1"/>
  <c r="M750" i="1"/>
  <c r="N750" i="1" s="1"/>
  <c r="G750" i="1"/>
  <c r="G743" i="1" s="1"/>
  <c r="K750" i="1"/>
  <c r="K285" i="1"/>
  <c r="K106" i="1"/>
  <c r="K709" i="1"/>
  <c r="G709" i="1"/>
  <c r="F709" i="1"/>
  <c r="F897" i="1"/>
  <c r="F890" i="1" s="1"/>
  <c r="K897" i="1"/>
  <c r="G897" i="1"/>
  <c r="G681" i="1"/>
  <c r="G674" i="1" s="1"/>
  <c r="F681" i="1"/>
  <c r="F674" i="1" s="1"/>
  <c r="L931" i="1"/>
  <c r="K15" i="1"/>
  <c r="K221" i="1"/>
  <c r="G870" i="1"/>
  <c r="F870" i="1"/>
  <c r="M870" i="1"/>
  <c r="L367" i="1"/>
  <c r="L366" i="1"/>
  <c r="L60" i="1"/>
  <c r="G942" i="1"/>
  <c r="G935" i="1" s="1"/>
  <c r="G934" i="1" s="1"/>
  <c r="G933" i="1" s="1"/>
  <c r="F942" i="1"/>
  <c r="F935" i="1" s="1"/>
  <c r="F934" i="1" s="1"/>
  <c r="F933" i="1" s="1"/>
  <c r="N740" i="1"/>
  <c r="M419" i="1"/>
  <c r="N419" i="1" s="1"/>
  <c r="G419" i="1"/>
  <c r="F419" i="1"/>
  <c r="L419" i="1" s="1"/>
  <c r="F279" i="1"/>
  <c r="F272" i="1" s="1"/>
  <c r="G279" i="1"/>
  <c r="G272" i="1" s="1"/>
  <c r="K206" i="1"/>
  <c r="K30" i="1"/>
  <c r="M576" i="1"/>
  <c r="N576" i="1" s="1"/>
  <c r="K576" i="1"/>
  <c r="K569" i="1" s="1"/>
  <c r="F576" i="1"/>
  <c r="G576" i="1"/>
  <c r="G569" i="1" s="1"/>
  <c r="G810" i="1"/>
  <c r="G803" i="1" s="1"/>
  <c r="F810" i="1"/>
  <c r="M810" i="1"/>
  <c r="N810" i="1" s="1"/>
  <c r="L248" i="1"/>
  <c r="G402" i="1"/>
  <c r="G395" i="1" s="1"/>
  <c r="G394" i="1" s="1"/>
  <c r="G393" i="1" s="1"/>
  <c r="M402" i="1"/>
  <c r="F402" i="1"/>
  <c r="G447" i="1"/>
  <c r="F447" i="1"/>
  <c r="L447" i="1" s="1"/>
  <c r="M447" i="1"/>
  <c r="N447" i="1" s="1"/>
  <c r="N342" i="1"/>
  <c r="N732" i="1"/>
  <c r="G921" i="1"/>
  <c r="G914" i="1" s="1"/>
  <c r="F921" i="1"/>
  <c r="F914" i="1" s="1"/>
  <c r="K335" i="1"/>
  <c r="G335" i="1"/>
  <c r="F335" i="1"/>
  <c r="L335" i="1" s="1"/>
  <c r="M335" i="1"/>
  <c r="K582" i="1"/>
  <c r="N756" i="1"/>
  <c r="K969" i="1"/>
  <c r="L969" i="1" s="1"/>
  <c r="L505" i="1"/>
  <c r="K749" i="1"/>
  <c r="K743" i="1" s="1"/>
  <c r="F286" i="1"/>
  <c r="G286" i="1"/>
  <c r="K886" i="1"/>
  <c r="L566" i="1"/>
  <c r="G890" i="1"/>
  <c r="G16" i="1"/>
  <c r="F16" i="1"/>
  <c r="M222" i="1"/>
  <c r="N222" i="1" s="1"/>
  <c r="F222" i="1"/>
  <c r="L222" i="1" s="1"/>
  <c r="G222" i="1"/>
  <c r="K222" i="1"/>
  <c r="G877" i="1"/>
  <c r="F877" i="1"/>
  <c r="K869" i="1"/>
  <c r="K139" i="1"/>
  <c r="F61" i="1"/>
  <c r="G61" i="1"/>
  <c r="K278" i="1"/>
  <c r="M207" i="1"/>
  <c r="G207" i="1"/>
  <c r="G200" i="1" s="1"/>
  <c r="F207" i="1"/>
  <c r="F39" i="1"/>
  <c r="L39" i="1" s="1"/>
  <c r="K39" i="1"/>
  <c r="G39" i="1"/>
  <c r="M39" i="1"/>
  <c r="L858" i="1"/>
  <c r="K793" i="1"/>
  <c r="K718" i="1"/>
  <c r="K711" i="1" s="1"/>
  <c r="N147" i="1"/>
  <c r="K764" i="1"/>
  <c r="N131" i="1"/>
  <c r="G774" i="1"/>
  <c r="G767" i="1" s="1"/>
  <c r="F774" i="1"/>
  <c r="L774" i="1" s="1"/>
  <c r="M774" i="1"/>
  <c r="N774" i="1" s="1"/>
  <c r="K774" i="1"/>
  <c r="F313" i="1"/>
  <c r="G313" i="1"/>
  <c r="G306" i="1" s="1"/>
  <c r="F548" i="1"/>
  <c r="L548" i="1" s="1"/>
  <c r="G548" i="1"/>
  <c r="M548" i="1"/>
  <c r="K548" i="1"/>
  <c r="F689" i="1"/>
  <c r="F682" i="1" s="1"/>
  <c r="G689" i="1"/>
  <c r="G682" i="1" s="1"/>
  <c r="M622" i="1"/>
  <c r="N622" i="1" s="1"/>
  <c r="G622" i="1"/>
  <c r="G615" i="1" s="1"/>
  <c r="F622" i="1"/>
  <c r="L622" i="1" s="1"/>
  <c r="K435" i="1"/>
  <c r="G650" i="1"/>
  <c r="F650" i="1"/>
  <c r="L598" i="1"/>
  <c r="L547" i="1"/>
  <c r="K598" i="1"/>
  <c r="K591" i="1" s="1"/>
  <c r="G583" i="1"/>
  <c r="F583" i="1"/>
  <c r="L583" i="1" s="1"/>
  <c r="M583" i="1"/>
  <c r="N583" i="1" s="1"/>
  <c r="K757" i="1"/>
  <c r="F757" i="1"/>
  <c r="L757" i="1" s="1"/>
  <c r="M757" i="1"/>
  <c r="N757" i="1" s="1"/>
  <c r="G757" i="1"/>
  <c r="N312" i="1"/>
  <c r="K688" i="1"/>
  <c r="N749" i="1"/>
  <c r="L743" i="1"/>
  <c r="G294" i="1"/>
  <c r="M294" i="1"/>
  <c r="K294" i="1"/>
  <c r="F294" i="1"/>
  <c r="L294" i="1" s="1"/>
  <c r="G541" i="1"/>
  <c r="G534" i="1" s="1"/>
  <c r="K541" i="1"/>
  <c r="F541" i="1"/>
  <c r="F534" i="1" s="1"/>
  <c r="K391" i="1"/>
  <c r="K669" i="1"/>
  <c r="K896" i="1"/>
  <c r="F932" i="1"/>
  <c r="F925" i="1" s="1"/>
  <c r="F924" i="1" s="1"/>
  <c r="F923" i="1" s="1"/>
  <c r="F922" i="1" s="1"/>
  <c r="F986" i="1" s="1"/>
  <c r="G932" i="1"/>
  <c r="K932" i="1"/>
  <c r="F615" i="1"/>
  <c r="L114" i="1"/>
  <c r="K613" i="1"/>
  <c r="L532" i="1"/>
  <c r="K662" i="1"/>
  <c r="N383" i="1"/>
  <c r="K911" i="1"/>
  <c r="G794" i="1"/>
  <c r="G787" i="1" s="1"/>
  <c r="K794" i="1"/>
  <c r="F794" i="1"/>
  <c r="F787" i="1" s="1"/>
  <c r="F71" i="1"/>
  <c r="G320" i="1"/>
  <c r="F320" i="1"/>
  <c r="K320" i="1"/>
  <c r="F765" i="1"/>
  <c r="L765" i="1" s="1"/>
  <c r="G765" i="1"/>
  <c r="M765" i="1"/>
  <c r="G456" i="1"/>
  <c r="G449" i="1" s="1"/>
  <c r="F456" i="1"/>
  <c r="F449" i="1" s="1"/>
  <c r="N213" i="1"/>
  <c r="G733" i="1"/>
  <c r="M733" i="1"/>
  <c r="F733" i="1"/>
  <c r="L733" i="1" s="1"/>
  <c r="K547" i="1"/>
  <c r="N547" i="1"/>
  <c r="K773" i="1"/>
  <c r="K649" i="1"/>
  <c r="K173" i="1"/>
  <c r="L559" i="1"/>
  <c r="L756" i="1"/>
  <c r="K505" i="1"/>
  <c r="L699" i="1"/>
  <c r="F436" i="1"/>
  <c r="F429" i="1" s="1"/>
  <c r="G436" i="1"/>
  <c r="G429" i="1" s="1"/>
  <c r="K426" i="1"/>
  <c r="L540" i="1"/>
  <c r="F392" i="1"/>
  <c r="G392" i="1"/>
  <c r="G385" i="1" s="1"/>
  <c r="M392" i="1"/>
  <c r="N392" i="1" s="1"/>
  <c r="K983" i="1"/>
  <c r="K966" i="1"/>
  <c r="L966" i="1" s="1"/>
  <c r="K825" i="1"/>
  <c r="K820" i="1" s="1"/>
  <c r="K819" i="1" s="1"/>
  <c r="K670" i="1"/>
  <c r="M670" i="1"/>
  <c r="N670" i="1" s="1"/>
  <c r="G670" i="1"/>
  <c r="F670" i="1"/>
  <c r="L670" i="1" s="1"/>
  <c r="L680" i="1"/>
  <c r="M726" i="1"/>
  <c r="N726" i="1" s="1"/>
  <c r="G726" i="1"/>
  <c r="G719" i="1" s="1"/>
  <c r="F726" i="1"/>
  <c r="L726" i="1" s="1"/>
  <c r="F614" i="1"/>
  <c r="M614" i="1"/>
  <c r="N614" i="1" s="1"/>
  <c r="K614" i="1"/>
  <c r="G614" i="1"/>
  <c r="G607" i="1" s="1"/>
  <c r="F642" i="1"/>
  <c r="K642" i="1"/>
  <c r="G642" i="1"/>
  <c r="K941" i="1"/>
  <c r="L98" i="1"/>
  <c r="K418" i="1"/>
  <c r="N662" i="1"/>
  <c r="F31" i="1"/>
  <c r="M31" i="1"/>
  <c r="N31" i="1" s="1"/>
  <c r="G31" i="1"/>
  <c r="N809" i="1"/>
  <c r="L803" i="1"/>
  <c r="G912" i="1"/>
  <c r="M912" i="1"/>
  <c r="F912" i="1"/>
  <c r="L912" i="1" s="1"/>
  <c r="K401" i="1"/>
  <c r="L319" i="1"/>
  <c r="F132" i="1"/>
  <c r="G132" i="1"/>
  <c r="M214" i="1"/>
  <c r="G214" i="1"/>
  <c r="F214" i="1"/>
  <c r="L214" i="1" s="1"/>
  <c r="G91" i="1"/>
  <c r="G84" i="1" s="1"/>
  <c r="F91" i="1"/>
  <c r="F84" i="1" s="1"/>
  <c r="L334" i="1"/>
  <c r="M492" i="1"/>
  <c r="K492" i="1"/>
  <c r="G492" i="1"/>
  <c r="F492" i="1"/>
  <c r="L492" i="1" s="1"/>
  <c r="L819" i="1"/>
  <c r="L820" i="1"/>
  <c r="N773" i="1"/>
  <c r="K174" i="1"/>
  <c r="G174" i="1"/>
  <c r="F174" i="1"/>
  <c r="G560" i="1"/>
  <c r="G553" i="1" s="1"/>
  <c r="K560" i="1"/>
  <c r="K553" i="1" s="1"/>
  <c r="F560" i="1"/>
  <c r="F553" i="1" s="1"/>
  <c r="K756" i="1"/>
  <c r="K312" i="1"/>
  <c r="G700" i="1"/>
  <c r="G693" i="1" s="1"/>
  <c r="G692" i="1" s="1"/>
  <c r="G691" i="1" s="1"/>
  <c r="F700" i="1"/>
  <c r="F693" i="1" s="1"/>
  <c r="F692" i="1" s="1"/>
  <c r="F691" i="1" s="1"/>
  <c r="L688" i="1"/>
  <c r="K621" i="1"/>
  <c r="K513" i="1"/>
  <c r="L513" i="1" s="1"/>
  <c r="L100" i="1"/>
  <c r="F107" i="1"/>
  <c r="F100" i="1" s="1"/>
  <c r="G107" i="1"/>
  <c r="G100" i="1" s="1"/>
  <c r="K53" i="1"/>
  <c r="G53" i="1"/>
  <c r="M53" i="1"/>
  <c r="N53" i="1" s="1"/>
  <c r="F53" i="1"/>
  <c r="L53" i="1" s="1"/>
  <c r="K293" i="1"/>
  <c r="K255" i="1"/>
  <c r="L896" i="1"/>
  <c r="G925" i="1"/>
  <c r="G924" i="1" s="1"/>
  <c r="G923" i="1" s="1"/>
  <c r="G922" i="1" s="1"/>
  <c r="G986" i="1" s="1"/>
  <c r="K725" i="1"/>
  <c r="F123" i="1"/>
  <c r="F116" i="1" s="1"/>
  <c r="G123" i="1"/>
  <c r="G116" i="1" s="1"/>
  <c r="K123" i="1"/>
  <c r="L410" i="1"/>
  <c r="G140" i="1"/>
  <c r="F140" i="1"/>
  <c r="F741" i="1"/>
  <c r="G741" i="1"/>
  <c r="K741" i="1"/>
  <c r="M741" i="1"/>
  <c r="F970" i="1"/>
  <c r="G533" i="1"/>
  <c r="G526" i="1" s="1"/>
  <c r="F533" i="1"/>
  <c r="F526" i="1" s="1"/>
  <c r="G663" i="1"/>
  <c r="G656" i="1" s="1"/>
  <c r="F663" i="1"/>
  <c r="F656" i="1" s="1"/>
  <c r="K663" i="1"/>
  <c r="F384" i="1"/>
  <c r="F377" i="1" s="1"/>
  <c r="G384" i="1"/>
  <c r="G377" i="1" s="1"/>
  <c r="F303" i="1"/>
  <c r="M303" i="1"/>
  <c r="G303" i="1"/>
  <c r="G296" i="1" s="1"/>
  <c r="G817" i="1"/>
  <c r="F817" i="1"/>
  <c r="L817" i="1" s="1"/>
  <c r="M817" i="1"/>
  <c r="K817" i="1"/>
  <c r="F306" i="1"/>
  <c r="L718" i="1"/>
  <c r="L711" i="1"/>
  <c r="K78" i="1"/>
  <c r="K71" i="1" s="1"/>
  <c r="L71" i="1"/>
  <c r="K148" i="1"/>
  <c r="G148" i="1"/>
  <c r="F148" i="1"/>
  <c r="M148" i="1"/>
  <c r="N148" i="1" s="1"/>
  <c r="K90" i="1"/>
  <c r="L90" i="1" s="1"/>
  <c r="L285" i="1"/>
  <c r="L435" i="1"/>
  <c r="G427" i="1"/>
  <c r="K427" i="1"/>
  <c r="F427" i="1"/>
  <c r="K52" i="1"/>
  <c r="F256" i="1"/>
  <c r="G256" i="1"/>
  <c r="K540" i="1"/>
  <c r="N708" i="1"/>
  <c r="L669" i="1"/>
  <c r="G987" i="1"/>
  <c r="K931" i="1"/>
  <c r="N725" i="1"/>
  <c r="N941" i="1"/>
  <c r="F987" i="1"/>
  <c r="N30" i="1"/>
  <c r="G859" i="1"/>
  <c r="F859" i="1"/>
  <c r="L911" i="1"/>
  <c r="K197" i="1"/>
  <c r="G802" i="1"/>
  <c r="G795" i="1" s="1"/>
  <c r="F802" i="1"/>
  <c r="F795" i="1" s="1"/>
  <c r="N920" i="1"/>
  <c r="L173" i="1"/>
  <c r="G364" i="1"/>
  <c r="M364" i="1"/>
  <c r="K364" i="1"/>
  <c r="F364" i="1"/>
  <c r="L364" i="1" s="1"/>
  <c r="N621" i="1"/>
  <c r="L615" i="1"/>
  <c r="K905" i="1"/>
  <c r="K898" i="1" s="1"/>
  <c r="L255" i="1"/>
  <c r="K182" i="1"/>
  <c r="K566" i="1"/>
  <c r="L725" i="1"/>
  <c r="G9" i="1"/>
  <c r="K122" i="1"/>
  <c r="N876" i="1"/>
  <c r="K410" i="1"/>
  <c r="K403" i="1" s="1"/>
  <c r="K114" i="1"/>
  <c r="G863" i="1"/>
  <c r="K641" i="1"/>
  <c r="K60" i="1"/>
  <c r="K98" i="1"/>
  <c r="N418" i="1"/>
  <c r="N278" i="1"/>
  <c r="N302" i="1"/>
  <c r="M605" i="1"/>
  <c r="N605" i="1" s="1"/>
  <c r="G605" i="1"/>
  <c r="K605" i="1"/>
  <c r="F605" i="1"/>
  <c r="L605" i="1" s="1"/>
  <c r="N911" i="1"/>
  <c r="N816" i="1"/>
  <c r="K249" i="1"/>
  <c r="K242" i="1" s="1"/>
  <c r="G249" i="1"/>
  <c r="G242" i="1" s="1"/>
  <c r="F249" i="1"/>
  <c r="F242" i="1" s="1"/>
  <c r="M198" i="1"/>
  <c r="N198" i="1" s="1"/>
  <c r="F198" i="1"/>
  <c r="K198" i="1"/>
  <c r="G198" i="1"/>
  <c r="N78" i="1"/>
  <c r="N801" i="1"/>
  <c r="N446" i="1"/>
  <c r="G24" i="1"/>
  <c r="G17" i="1" s="1"/>
  <c r="F24" i="1"/>
  <c r="F17" i="1" s="1"/>
  <c r="N90" i="1"/>
  <c r="F343" i="1"/>
  <c r="G343" i="1"/>
  <c r="K920" i="1"/>
  <c r="K334" i="1"/>
  <c r="N582" i="1"/>
  <c r="L426" i="1"/>
  <c r="L106" i="1"/>
  <c r="L905" i="1"/>
  <c r="O886" i="1"/>
  <c r="L879" i="1"/>
  <c r="G183" i="1"/>
  <c r="G176" i="1" s="1"/>
  <c r="F183" i="1"/>
  <c r="F176" i="1" s="1"/>
  <c r="K183" i="1"/>
  <c r="F567" i="1"/>
  <c r="G567" i="1"/>
  <c r="K708" i="1"/>
  <c r="L15" i="1"/>
  <c r="G115" i="1"/>
  <c r="G108" i="1" s="1"/>
  <c r="F115" i="1"/>
  <c r="F108" i="1" s="1"/>
  <c r="N613" i="1"/>
  <c r="F156" i="1"/>
  <c r="L156" i="1" s="1"/>
  <c r="G156" i="1"/>
  <c r="M156" i="1"/>
  <c r="K740" i="1"/>
  <c r="G99" i="1"/>
  <c r="G92" i="1" s="1"/>
  <c r="F99" i="1"/>
  <c r="F92" i="1" s="1"/>
  <c r="L418" i="1"/>
  <c r="K604" i="1"/>
  <c r="L403" i="1"/>
  <c r="N401" i="1"/>
  <c r="F767" i="1"/>
  <c r="K446" i="1"/>
  <c r="L764" i="1"/>
  <c r="L455" i="1"/>
  <c r="K879" i="1"/>
  <c r="L23" i="1"/>
  <c r="M629" i="1"/>
  <c r="G629" i="1"/>
  <c r="F629" i="1"/>
  <c r="L629" i="1" s="1"/>
  <c r="V39" i="2" l="1"/>
  <c r="S39" i="2"/>
  <c r="R39" i="2"/>
  <c r="L174" i="1"/>
  <c r="G971" i="1"/>
  <c r="F191" i="1"/>
  <c r="L191" i="1" s="1"/>
  <c r="M191" i="1"/>
  <c r="N191" i="1" s="1"/>
  <c r="G191" i="1"/>
  <c r="G184" i="1" s="1"/>
  <c r="F719" i="1"/>
  <c r="G905" i="1"/>
  <c r="G898" i="1" s="1"/>
  <c r="F905" i="1"/>
  <c r="F898" i="1" s="1"/>
  <c r="K607" i="1"/>
  <c r="F988" i="1"/>
  <c r="G988" i="1"/>
  <c r="F886" i="1"/>
  <c r="M886" i="1"/>
  <c r="N886" i="1" s="1"/>
  <c r="G886" i="1"/>
  <c r="G879" i="1" s="1"/>
  <c r="K925" i="1"/>
  <c r="K924" i="1" s="1"/>
  <c r="K923" i="1" s="1"/>
  <c r="K987" i="1"/>
  <c r="K787" i="1"/>
  <c r="K116" i="1"/>
  <c r="O121" i="1" s="1"/>
  <c r="K534" i="1"/>
  <c r="K656" i="1"/>
  <c r="L925" i="1"/>
  <c r="K629" i="1"/>
  <c r="G568" i="1"/>
  <c r="G561" i="1" s="1"/>
  <c r="F568" i="1"/>
  <c r="L272" i="1"/>
  <c r="L802" i="1"/>
  <c r="K303" i="1"/>
  <c r="K296" i="1" s="1"/>
  <c r="K384" i="1"/>
  <c r="K377" i="1" s="1"/>
  <c r="F54" i="1"/>
  <c r="F47" i="1" s="1"/>
  <c r="G54" i="1"/>
  <c r="G47" i="1" s="1"/>
  <c r="L569" i="1"/>
  <c r="K91" i="1"/>
  <c r="K84" i="1" s="1"/>
  <c r="L31" i="1"/>
  <c r="K726" i="1"/>
  <c r="L719" i="1"/>
  <c r="F385" i="1"/>
  <c r="K436" i="1"/>
  <c r="K429" i="1" s="1"/>
  <c r="L456" i="1"/>
  <c r="M758" i="1"/>
  <c r="N758" i="1" s="1"/>
  <c r="F758" i="1"/>
  <c r="G758" i="1"/>
  <c r="G751" i="1" s="1"/>
  <c r="M584" i="1"/>
  <c r="F584" i="1"/>
  <c r="G584" i="1"/>
  <c r="G577" i="1" s="1"/>
  <c r="L689" i="1"/>
  <c r="L313" i="1"/>
  <c r="L877" i="1"/>
  <c r="F673" i="1"/>
  <c r="F672" i="1" s="1"/>
  <c r="K890" i="1"/>
  <c r="L343" i="1"/>
  <c r="L567" i="1"/>
  <c r="K802" i="1"/>
  <c r="K795" i="1" s="1"/>
  <c r="G257" i="1"/>
  <c r="G250" i="1" s="1"/>
  <c r="F257" i="1"/>
  <c r="F250" i="1" s="1"/>
  <c r="L700" i="1"/>
  <c r="F175" i="1"/>
  <c r="M175" i="1"/>
  <c r="G175" i="1"/>
  <c r="G168" i="1" s="1"/>
  <c r="F215" i="1"/>
  <c r="M215" i="1"/>
  <c r="G215" i="1"/>
  <c r="G208" i="1" s="1"/>
  <c r="K215" i="1"/>
  <c r="F133" i="1"/>
  <c r="F126" i="1" s="1"/>
  <c r="G133" i="1"/>
  <c r="G126" i="1" s="1"/>
  <c r="K313" i="1"/>
  <c r="K306" i="1" s="1"/>
  <c r="K877" i="1"/>
  <c r="K16" i="1"/>
  <c r="K9" i="1" s="1"/>
  <c r="L921" i="1"/>
  <c r="F448" i="1"/>
  <c r="F441" i="1" s="1"/>
  <c r="F440" i="1" s="1"/>
  <c r="G448" i="1"/>
  <c r="G441" i="1" s="1"/>
  <c r="G440" i="1" s="1"/>
  <c r="K942" i="1"/>
  <c r="K935" i="1" s="1"/>
  <c r="K934" i="1" s="1"/>
  <c r="K933" i="1" s="1"/>
  <c r="K922" i="1" s="1"/>
  <c r="K986" i="1" s="1"/>
  <c r="L897" i="1"/>
  <c r="G515" i="1"/>
  <c r="G508" i="1" s="1"/>
  <c r="F515" i="1"/>
  <c r="F508" i="1" s="1"/>
  <c r="L506" i="1"/>
  <c r="G199" i="1"/>
  <c r="G192" i="1" s="1"/>
  <c r="F199" i="1"/>
  <c r="L199" i="1" s="1"/>
  <c r="M199" i="1"/>
  <c r="K156" i="1"/>
  <c r="G157" i="1"/>
  <c r="G150" i="1" s="1"/>
  <c r="F157" i="1"/>
  <c r="K157" i="1"/>
  <c r="K150" i="1" s="1"/>
  <c r="M157" i="1"/>
  <c r="N157" i="1" s="1"/>
  <c r="L249" i="1"/>
  <c r="M365" i="1"/>
  <c r="G365" i="1"/>
  <c r="G358" i="1" s="1"/>
  <c r="F365" i="1"/>
  <c r="L256" i="1"/>
  <c r="L533" i="1"/>
  <c r="G742" i="1"/>
  <c r="G735" i="1" s="1"/>
  <c r="M742" i="1"/>
  <c r="N742" i="1" s="1"/>
  <c r="F742" i="1"/>
  <c r="L742" i="1" s="1"/>
  <c r="L140" i="1"/>
  <c r="K719" i="1"/>
  <c r="K700" i="1"/>
  <c r="K693" i="1" s="1"/>
  <c r="K692" i="1" s="1"/>
  <c r="K691" i="1" s="1"/>
  <c r="F83" i="1"/>
  <c r="L132" i="1"/>
  <c r="K32" i="1"/>
  <c r="G32" i="1"/>
  <c r="G25" i="1" s="1"/>
  <c r="M32" i="1"/>
  <c r="F32" i="1"/>
  <c r="L32" i="1" s="1"/>
  <c r="L642" i="1"/>
  <c r="L614" i="1"/>
  <c r="F607" i="1"/>
  <c r="K970" i="1"/>
  <c r="L970" i="1" s="1"/>
  <c r="L436" i="1"/>
  <c r="N733" i="1"/>
  <c r="N765" i="1"/>
  <c r="L794" i="1"/>
  <c r="N294" i="1"/>
  <c r="G651" i="1"/>
  <c r="G644" i="1" s="1"/>
  <c r="F651" i="1"/>
  <c r="F644" i="1" s="1"/>
  <c r="K689" i="1"/>
  <c r="K682" i="1" s="1"/>
  <c r="F223" i="1"/>
  <c r="M223" i="1"/>
  <c r="G223" i="1"/>
  <c r="G216" i="1" s="1"/>
  <c r="G287" i="1"/>
  <c r="G280" i="1" s="1"/>
  <c r="F287" i="1"/>
  <c r="F280" i="1" s="1"/>
  <c r="F336" i="1"/>
  <c r="F329" i="1" s="1"/>
  <c r="G336" i="1"/>
  <c r="G329" i="1" s="1"/>
  <c r="F395" i="1"/>
  <c r="F394" i="1" s="1"/>
  <c r="F393" i="1" s="1"/>
  <c r="L576" i="1"/>
  <c r="F569" i="1"/>
  <c r="K279" i="1"/>
  <c r="K272" i="1" s="1"/>
  <c r="K419" i="1"/>
  <c r="L681" i="1"/>
  <c r="F743" i="1"/>
  <c r="F9" i="1"/>
  <c r="L115" i="1"/>
  <c r="L108" i="1"/>
  <c r="K343" i="1"/>
  <c r="K859" i="1"/>
  <c r="L935" i="1"/>
  <c r="G149" i="1"/>
  <c r="G142" i="1" s="1"/>
  <c r="F149" i="1"/>
  <c r="M149" i="1"/>
  <c r="M818" i="1"/>
  <c r="N818" i="1" s="1"/>
  <c r="G818" i="1"/>
  <c r="G811" i="1" s="1"/>
  <c r="G786" i="1" s="1"/>
  <c r="G785" i="1" s="1"/>
  <c r="F818" i="1"/>
  <c r="K533" i="1"/>
  <c r="K526" i="1" s="1"/>
  <c r="N492" i="1"/>
  <c r="G83" i="1"/>
  <c r="N214" i="1"/>
  <c r="G913" i="1"/>
  <c r="G906" i="1" s="1"/>
  <c r="F913" i="1"/>
  <c r="F906" i="1" s="1"/>
  <c r="F889" i="1" s="1"/>
  <c r="F888" i="1" s="1"/>
  <c r="F887" i="1" s="1"/>
  <c r="F985" i="1" s="1"/>
  <c r="G643" i="1"/>
  <c r="G636" i="1" s="1"/>
  <c r="F643" i="1"/>
  <c r="F636" i="1" s="1"/>
  <c r="G321" i="1"/>
  <c r="G314" i="1" s="1"/>
  <c r="G305" i="1" s="1"/>
  <c r="G304" i="1" s="1"/>
  <c r="F321" i="1"/>
  <c r="F314" i="1" s="1"/>
  <c r="L541" i="1"/>
  <c r="L534" i="1"/>
  <c r="N548" i="1"/>
  <c r="K767" i="1"/>
  <c r="N207" i="1"/>
  <c r="K61" i="1"/>
  <c r="K870" i="1"/>
  <c r="K863" i="1" s="1"/>
  <c r="G673" i="1"/>
  <c r="G672" i="1" s="1"/>
  <c r="L116" i="1"/>
  <c r="K115" i="1"/>
  <c r="K108" i="1" s="1"/>
  <c r="N156" i="1"/>
  <c r="F561" i="1"/>
  <c r="L176" i="1"/>
  <c r="L183" i="1"/>
  <c r="G344" i="1"/>
  <c r="G337" i="1" s="1"/>
  <c r="F344" i="1"/>
  <c r="F337" i="1" s="1"/>
  <c r="L24" i="1"/>
  <c r="L198" i="1"/>
  <c r="F606" i="1"/>
  <c r="F599" i="1" s="1"/>
  <c r="G606" i="1"/>
  <c r="G599" i="1" s="1"/>
  <c r="N364" i="1"/>
  <c r="G860" i="1"/>
  <c r="G853" i="1" s="1"/>
  <c r="G852" i="1" s="1"/>
  <c r="G851" i="1" s="1"/>
  <c r="F860" i="1"/>
  <c r="F853" i="1" s="1"/>
  <c r="F852" i="1" s="1"/>
  <c r="F851" i="1" s="1"/>
  <c r="L429" i="1"/>
  <c r="N817" i="1"/>
  <c r="L303" i="1"/>
  <c r="F296" i="1"/>
  <c r="L296" i="1" s="1"/>
  <c r="L91" i="1"/>
  <c r="K132" i="1"/>
  <c r="K734" i="1"/>
  <c r="M734" i="1"/>
  <c r="N734" i="1" s="1"/>
  <c r="G734" i="1"/>
  <c r="G727" i="1" s="1"/>
  <c r="F734" i="1"/>
  <c r="K456" i="1"/>
  <c r="K449" i="1" s="1"/>
  <c r="L607" i="1"/>
  <c r="K650" i="1"/>
  <c r="K622" i="1"/>
  <c r="K615" i="1" s="1"/>
  <c r="N39" i="1"/>
  <c r="K207" i="1"/>
  <c r="K200" i="1" s="1"/>
  <c r="K878" i="1"/>
  <c r="K871" i="1" s="1"/>
  <c r="G878" i="1"/>
  <c r="G871" i="1" s="1"/>
  <c r="G862" i="1" s="1"/>
  <c r="G861" i="1" s="1"/>
  <c r="F878" i="1"/>
  <c r="F871" i="1" s="1"/>
  <c r="N335" i="1"/>
  <c r="K402" i="1"/>
  <c r="K395" i="1" s="1"/>
  <c r="K394" i="1" s="1"/>
  <c r="K393" i="1" s="1"/>
  <c r="K810" i="1"/>
  <c r="K803" i="1" s="1"/>
  <c r="L279" i="1"/>
  <c r="F420" i="1"/>
  <c r="F413" i="1" s="1"/>
  <c r="G420" i="1"/>
  <c r="G413" i="1" s="1"/>
  <c r="L942" i="1"/>
  <c r="L870" i="1"/>
  <c r="F863" i="1"/>
  <c r="F507" i="1"/>
  <c r="F500" i="1" s="1"/>
  <c r="F499" i="1" s="1"/>
  <c r="F498" i="1" s="1"/>
  <c r="G507" i="1"/>
  <c r="G500" i="1" s="1"/>
  <c r="G499" i="1" s="1"/>
  <c r="G498" i="1" s="1"/>
  <c r="L99" i="1"/>
  <c r="K567" i="1"/>
  <c r="L859" i="1"/>
  <c r="G375" i="1"/>
  <c r="G376" i="1"/>
  <c r="N741" i="1"/>
  <c r="K140" i="1"/>
  <c r="K107" i="1"/>
  <c r="K100" i="1" s="1"/>
  <c r="L560" i="1"/>
  <c r="G493" i="1"/>
  <c r="G486" i="1" s="1"/>
  <c r="G485" i="1" s="1"/>
  <c r="M493" i="1"/>
  <c r="F493" i="1"/>
  <c r="K214" i="1"/>
  <c r="K912" i="1"/>
  <c r="K31" i="1"/>
  <c r="K25" i="1" s="1"/>
  <c r="G671" i="1"/>
  <c r="G664" i="1" s="1"/>
  <c r="G655" i="1" s="1"/>
  <c r="G654" i="1" s="1"/>
  <c r="F671" i="1"/>
  <c r="F664" i="1" s="1"/>
  <c r="F655" i="1" s="1"/>
  <c r="F654" i="1" s="1"/>
  <c r="K392" i="1"/>
  <c r="K385" i="1" s="1"/>
  <c r="K765" i="1"/>
  <c r="G295" i="1"/>
  <c r="G288" i="1" s="1"/>
  <c r="F295" i="1"/>
  <c r="M295" i="1"/>
  <c r="L650" i="1"/>
  <c r="L207" i="1"/>
  <c r="F200" i="1"/>
  <c r="G889" i="1"/>
  <c r="G888" i="1" s="1"/>
  <c r="G887" i="1" s="1"/>
  <c r="G985" i="1" s="1"/>
  <c r="K286" i="1"/>
  <c r="L810" i="1"/>
  <c r="F803" i="1"/>
  <c r="L709" i="1"/>
  <c r="K514" i="1"/>
  <c r="G241" i="1"/>
  <c r="G240" i="1" s="1"/>
  <c r="K99" i="1"/>
  <c r="K92" i="1" s="1"/>
  <c r="K24" i="1"/>
  <c r="K17" i="1" s="1"/>
  <c r="L795" i="1"/>
  <c r="M630" i="1"/>
  <c r="N630" i="1" s="1"/>
  <c r="K630" i="1"/>
  <c r="K623" i="1" s="1"/>
  <c r="F630" i="1"/>
  <c r="G630" i="1"/>
  <c r="G623" i="1" s="1"/>
  <c r="N629" i="1"/>
  <c r="K176" i="1"/>
  <c r="L84" i="1"/>
  <c r="F241" i="1"/>
  <c r="F240" i="1" s="1"/>
  <c r="L553" i="1"/>
  <c r="K256" i="1"/>
  <c r="L427" i="1"/>
  <c r="L148" i="1"/>
  <c r="F142" i="1"/>
  <c r="F375" i="1"/>
  <c r="F376" i="1"/>
  <c r="L663" i="1"/>
  <c r="G141" i="1"/>
  <c r="G134" i="1" s="1"/>
  <c r="F141" i="1"/>
  <c r="F134" i="1" s="1"/>
  <c r="L123" i="1"/>
  <c r="G552" i="1"/>
  <c r="G551" i="1" s="1"/>
  <c r="L767" i="1"/>
  <c r="N912" i="1"/>
  <c r="L320" i="1"/>
  <c r="L78" i="1"/>
  <c r="L932" i="1"/>
  <c r="K583" i="1"/>
  <c r="L591" i="1"/>
  <c r="G549" i="1"/>
  <c r="G542" i="1" s="1"/>
  <c r="G525" i="1" s="1"/>
  <c r="G524" i="1" s="1"/>
  <c r="F549" i="1"/>
  <c r="M549" i="1"/>
  <c r="M40" i="1"/>
  <c r="N40" i="1" s="1"/>
  <c r="F40" i="1"/>
  <c r="G40" i="1"/>
  <c r="G33" i="1" s="1"/>
  <c r="G62" i="1"/>
  <c r="G55" i="1" s="1"/>
  <c r="F62" i="1"/>
  <c r="F55" i="1" s="1"/>
  <c r="K62" i="1"/>
  <c r="L16" i="1"/>
  <c r="K447" i="1"/>
  <c r="N402" i="1"/>
  <c r="N870" i="1"/>
  <c r="G710" i="1"/>
  <c r="G703" i="1" s="1"/>
  <c r="F710" i="1"/>
  <c r="F703" i="1" s="1"/>
  <c r="L514" i="1"/>
  <c r="L682" i="1"/>
  <c r="G428" i="1"/>
  <c r="G421" i="1" s="1"/>
  <c r="F428" i="1"/>
  <c r="F421" i="1" s="1"/>
  <c r="F305" i="1"/>
  <c r="F304" i="1" s="1"/>
  <c r="N303" i="1"/>
  <c r="L384" i="1"/>
  <c r="L741" i="1"/>
  <c r="F735" i="1"/>
  <c r="F971" i="1"/>
  <c r="L107" i="1"/>
  <c r="K733" i="1"/>
  <c r="G766" i="1"/>
  <c r="G759" i="1" s="1"/>
  <c r="F766" i="1"/>
  <c r="M766" i="1"/>
  <c r="L787" i="1"/>
  <c r="L61" i="1"/>
  <c r="L286" i="1"/>
  <c r="K921" i="1"/>
  <c r="K914" i="1" s="1"/>
  <c r="L914" i="1"/>
  <c r="K681" i="1"/>
  <c r="K674" i="1" s="1"/>
  <c r="F192" i="1" l="1"/>
  <c r="G271" i="1"/>
  <c r="G270" i="1" s="1"/>
  <c r="F184" i="1"/>
  <c r="L886" i="1"/>
  <c r="F879" i="1"/>
  <c r="F635" i="1"/>
  <c r="F634" i="1" s="1"/>
  <c r="G635" i="1"/>
  <c r="G634" i="1" s="1"/>
  <c r="G8" i="1"/>
  <c r="G7" i="1" s="1"/>
  <c r="K673" i="1"/>
  <c r="K672" i="1" s="1"/>
  <c r="K55" i="1"/>
  <c r="N766" i="1"/>
  <c r="L9" i="1"/>
  <c r="F33" i="1"/>
  <c r="N549" i="1"/>
  <c r="N493" i="1"/>
  <c r="L606" i="1"/>
  <c r="L200" i="1"/>
  <c r="K287" i="1"/>
  <c r="K280" i="1" s="1"/>
  <c r="K651" i="1"/>
  <c r="K644" i="1" s="1"/>
  <c r="N32" i="1"/>
  <c r="K515" i="1"/>
  <c r="K508" i="1" s="1"/>
  <c r="N175" i="1"/>
  <c r="L449" i="1"/>
  <c r="L54" i="1"/>
  <c r="L428" i="1"/>
  <c r="K295" i="1"/>
  <c r="K288" i="1" s="1"/>
  <c r="K420" i="1"/>
  <c r="K413" i="1" s="1"/>
  <c r="K321" i="1"/>
  <c r="K314" i="1" s="1"/>
  <c r="K305" i="1" s="1"/>
  <c r="K643" i="1"/>
  <c r="K636" i="1" s="1"/>
  <c r="L913" i="1"/>
  <c r="L906" i="1"/>
  <c r="K818" i="1"/>
  <c r="K811" i="1" s="1"/>
  <c r="K786" i="1" s="1"/>
  <c r="K785" i="1" s="1"/>
  <c r="L385" i="1"/>
  <c r="F990" i="1"/>
  <c r="L651" i="1"/>
  <c r="L644" i="1"/>
  <c r="N365" i="1"/>
  <c r="L358" i="1"/>
  <c r="L515" i="1"/>
  <c r="L508" i="1"/>
  <c r="L448" i="1"/>
  <c r="K133" i="1"/>
  <c r="K126" i="1" s="1"/>
  <c r="F25" i="1"/>
  <c r="G46" i="1"/>
  <c r="G45" i="1" s="1"/>
  <c r="G702" i="1"/>
  <c r="G701" i="1" s="1"/>
  <c r="G690" i="1" s="1"/>
  <c r="L62" i="1"/>
  <c r="L126" i="1"/>
  <c r="L656" i="1"/>
  <c r="L630" i="1"/>
  <c r="F623" i="1"/>
  <c r="F590" i="1" s="1"/>
  <c r="F589" i="1" s="1"/>
  <c r="L295" i="1"/>
  <c r="F288" i="1"/>
  <c r="L671" i="1"/>
  <c r="K493" i="1"/>
  <c r="K486" i="1" s="1"/>
  <c r="K485" i="1" s="1"/>
  <c r="K507" i="1"/>
  <c r="K500" i="1" s="1"/>
  <c r="G412" i="1"/>
  <c r="G411" i="1" s="1"/>
  <c r="L811" i="1"/>
  <c r="K860" i="1"/>
  <c r="K853" i="1" s="1"/>
  <c r="K852" i="1" s="1"/>
  <c r="K851" i="1" s="1"/>
  <c r="AO2" i="1"/>
  <c r="L751" i="1"/>
  <c r="F973" i="1"/>
  <c r="L157" i="1"/>
  <c r="F150" i="1"/>
  <c r="L133" i="1"/>
  <c r="L215" i="1"/>
  <c r="F208" i="1"/>
  <c r="K175" i="1"/>
  <c r="K168" i="1" s="1"/>
  <c r="L257" i="1"/>
  <c r="K758" i="1"/>
  <c r="K751" i="1" s="1"/>
  <c r="K54" i="1"/>
  <c r="K47" i="1" s="1"/>
  <c r="K46" i="1" s="1"/>
  <c r="L863" i="1"/>
  <c r="L420" i="1"/>
  <c r="K727" i="1"/>
  <c r="G850" i="1"/>
  <c r="G984" i="1" s="1"/>
  <c r="L727" i="1"/>
  <c r="L321" i="1"/>
  <c r="L314" i="1"/>
  <c r="K913" i="1"/>
  <c r="K906" i="1" s="1"/>
  <c r="K889" i="1" s="1"/>
  <c r="K888" i="1" s="1"/>
  <c r="K887" i="1" s="1"/>
  <c r="K985" i="1" s="1"/>
  <c r="L934" i="1"/>
  <c r="L933" i="1"/>
  <c r="K971" i="1"/>
  <c r="L402" i="1"/>
  <c r="L306" i="1"/>
  <c r="K742" i="1"/>
  <c r="K735" i="1" s="1"/>
  <c r="N199" i="1"/>
  <c r="L192" i="1"/>
  <c r="K448" i="1"/>
  <c r="K441" i="1" s="1"/>
  <c r="K440" i="1" s="1"/>
  <c r="G125" i="1"/>
  <c r="G124" i="1" s="1"/>
  <c r="L526" i="1"/>
  <c r="L83" i="1"/>
  <c r="K40" i="1"/>
  <c r="K33" i="1" s="1"/>
  <c r="K8" i="1" s="1"/>
  <c r="K7" i="1" s="1"/>
  <c r="L549" i="1"/>
  <c r="F542" i="1"/>
  <c r="L92" i="1"/>
  <c r="F412" i="1"/>
  <c r="F411" i="1" s="1"/>
  <c r="L344" i="1"/>
  <c r="G973" i="1"/>
  <c r="L643" i="1"/>
  <c r="F8" i="1"/>
  <c r="F7" i="1" s="1"/>
  <c r="K988" i="1"/>
  <c r="K336" i="1"/>
  <c r="K329" i="1" s="1"/>
  <c r="K365" i="1"/>
  <c r="K358" i="1" s="1"/>
  <c r="K199" i="1"/>
  <c r="K192" i="1" s="1"/>
  <c r="F125" i="1"/>
  <c r="F124" i="1" s="1"/>
  <c r="L693" i="1"/>
  <c r="K257" i="1"/>
  <c r="K250" i="1" s="1"/>
  <c r="K241" i="1" s="1"/>
  <c r="K240" i="1" s="1"/>
  <c r="K584" i="1"/>
  <c r="K577" i="1" s="1"/>
  <c r="L758" i="1"/>
  <c r="F751" i="1"/>
  <c r="K83" i="1"/>
  <c r="F46" i="1"/>
  <c r="F45" i="1" s="1"/>
  <c r="K568" i="1"/>
  <c r="K561" i="1" s="1"/>
  <c r="K766" i="1"/>
  <c r="K759" i="1" s="1"/>
  <c r="K428" i="1"/>
  <c r="K421" i="1" s="1"/>
  <c r="K710" i="1"/>
  <c r="K703" i="1" s="1"/>
  <c r="L395" i="1"/>
  <c r="K862" i="1"/>
  <c r="K861" i="1" s="1"/>
  <c r="K141" i="1"/>
  <c r="K134" i="1" s="1"/>
  <c r="F862" i="1"/>
  <c r="F861" i="1" s="1"/>
  <c r="F850" i="1" s="1"/>
  <c r="F984" i="1" s="1"/>
  <c r="G990" i="1"/>
  <c r="L223" i="1"/>
  <c r="F216" i="1"/>
  <c r="L242" i="1"/>
  <c r="K208" i="1"/>
  <c r="G167" i="1"/>
  <c r="G166" i="1" s="1"/>
  <c r="L568" i="1"/>
  <c r="L766" i="1"/>
  <c r="F759" i="1"/>
  <c r="L377" i="1"/>
  <c r="L710" i="1"/>
  <c r="K549" i="1"/>
  <c r="K542" i="1" s="1"/>
  <c r="K525" i="1" s="1"/>
  <c r="K524" i="1" s="1"/>
  <c r="L623" i="1"/>
  <c r="L878" i="1"/>
  <c r="L871" i="1"/>
  <c r="L33" i="1"/>
  <c r="L734" i="1"/>
  <c r="F727" i="1"/>
  <c r="F702" i="1" s="1"/>
  <c r="F701" i="1" s="1"/>
  <c r="L860" i="1"/>
  <c r="K606" i="1"/>
  <c r="K599" i="1" s="1"/>
  <c r="K590" i="1" s="1"/>
  <c r="K589" i="1" s="1"/>
  <c r="L17" i="1"/>
  <c r="K344" i="1"/>
  <c r="K337" i="1" s="1"/>
  <c r="L337" i="1"/>
  <c r="L818" i="1"/>
  <c r="F811" i="1"/>
  <c r="F786" i="1" s="1"/>
  <c r="F785" i="1" s="1"/>
  <c r="N149" i="1"/>
  <c r="L142" i="1"/>
  <c r="L336" i="1"/>
  <c r="L287" i="1"/>
  <c r="N223" i="1"/>
  <c r="L890" i="1"/>
  <c r="G439" i="1"/>
  <c r="N584" i="1"/>
  <c r="L577" i="1"/>
  <c r="L392" i="1"/>
  <c r="L141" i="1"/>
  <c r="N295" i="1"/>
  <c r="K671" i="1"/>
  <c r="K664" i="1" s="1"/>
  <c r="K655" i="1" s="1"/>
  <c r="K654" i="1" s="1"/>
  <c r="L493" i="1"/>
  <c r="F486" i="1"/>
  <c r="F485" i="1" s="1"/>
  <c r="F439" i="1" s="1"/>
  <c r="L853" i="1"/>
  <c r="L507" i="1"/>
  <c r="G590" i="1"/>
  <c r="G589" i="1" s="1"/>
  <c r="G550" i="1" s="1"/>
  <c r="L674" i="1"/>
  <c r="K149" i="1"/>
  <c r="K142" i="1" s="1"/>
  <c r="G328" i="1"/>
  <c r="G327" i="1" s="1"/>
  <c r="K223" i="1"/>
  <c r="K216" i="1" s="1"/>
  <c r="L134" i="1"/>
  <c r="L365" i="1"/>
  <c r="F358" i="1"/>
  <c r="F328" i="1" s="1"/>
  <c r="F327" i="1" s="1"/>
  <c r="N215" i="1"/>
  <c r="L208" i="1"/>
  <c r="F168" i="1"/>
  <c r="F167" i="1" s="1"/>
  <c r="F166" i="1" s="1"/>
  <c r="L584" i="1"/>
  <c r="F577" i="1"/>
  <c r="F552" i="1" s="1"/>
  <c r="F551" i="1" s="1"/>
  <c r="K376" i="1"/>
  <c r="K375" i="1"/>
  <c r="L924" i="1"/>
  <c r="F690" i="1" l="1"/>
  <c r="G6" i="1"/>
  <c r="K973" i="1"/>
  <c r="K975" i="1" s="1"/>
  <c r="K328" i="1"/>
  <c r="K327" i="1" s="1"/>
  <c r="K702" i="1"/>
  <c r="K701" i="1" s="1"/>
  <c r="K690" i="1" s="1"/>
  <c r="K552" i="1"/>
  <c r="K551" i="1" s="1"/>
  <c r="K271" i="1"/>
  <c r="K270" i="1" s="1"/>
  <c r="L175" i="1"/>
  <c r="K499" i="1"/>
  <c r="K498" i="1" s="1"/>
  <c r="F993" i="1"/>
  <c r="F550" i="1"/>
  <c r="L703" i="1"/>
  <c r="L673" i="1"/>
  <c r="L672" i="1"/>
  <c r="L486" i="1"/>
  <c r="L485" i="1"/>
  <c r="L241" i="1"/>
  <c r="G975" i="1"/>
  <c r="G977" i="1" s="1"/>
  <c r="K439" i="1"/>
  <c r="L413" i="1"/>
  <c r="L735" i="1"/>
  <c r="L785" i="1"/>
  <c r="L150" i="1"/>
  <c r="L288" i="1"/>
  <c r="F271" i="1"/>
  <c r="F270" i="1" s="1"/>
  <c r="F6" i="1" s="1"/>
  <c r="L47" i="1"/>
  <c r="L40" i="1"/>
  <c r="K45" i="1"/>
  <c r="K167" i="1"/>
  <c r="K166" i="1" s="1"/>
  <c r="L55" i="1"/>
  <c r="K635" i="1"/>
  <c r="K634" i="1" s="1"/>
  <c r="K412" i="1"/>
  <c r="L599" i="1"/>
  <c r="L636" i="1"/>
  <c r="L500" i="1"/>
  <c r="K990" i="1"/>
  <c r="L25" i="1"/>
  <c r="L889" i="1"/>
  <c r="L561" i="1"/>
  <c r="G326" i="1"/>
  <c r="K304" i="1"/>
  <c r="G993" i="1"/>
  <c r="L923" i="1"/>
  <c r="L216" i="1"/>
  <c r="L376" i="1"/>
  <c r="L759" i="1"/>
  <c r="L692" i="1"/>
  <c r="L375" i="1"/>
  <c r="L149" i="1"/>
  <c r="L655" i="1"/>
  <c r="L654" i="1"/>
  <c r="K125" i="1"/>
  <c r="K124" i="1" s="1"/>
  <c r="L421" i="1"/>
  <c r="L168" i="1"/>
  <c r="L852" i="1"/>
  <c r="L280" i="1"/>
  <c r="K850" i="1"/>
  <c r="K984" i="1" s="1"/>
  <c r="L542" i="1"/>
  <c r="F525" i="1"/>
  <c r="F524" i="1" s="1"/>
  <c r="F326" i="1" s="1"/>
  <c r="L971" i="1"/>
  <c r="L250" i="1"/>
  <c r="L664" i="1"/>
  <c r="L393" i="1"/>
  <c r="L394" i="1"/>
  <c r="K550" i="1"/>
  <c r="L305" i="1"/>
  <c r="L304" i="1"/>
  <c r="L329" i="1"/>
  <c r="L524" i="1"/>
  <c r="L525" i="1"/>
  <c r="L441" i="1"/>
  <c r="L786" i="1"/>
  <c r="F975" i="1"/>
  <c r="K6" i="1" l="1"/>
  <c r="G5" i="1"/>
  <c r="G4" i="1" s="1"/>
  <c r="G1" i="1" s="1"/>
  <c r="G981" i="1"/>
  <c r="K977" i="1"/>
  <c r="L973" i="1"/>
  <c r="F981" i="1"/>
  <c r="F5" i="1"/>
  <c r="F4" i="1" s="1"/>
  <c r="F977" i="1" s="1"/>
  <c r="K993" i="1"/>
  <c r="L167" i="1"/>
  <c r="L166" i="1"/>
  <c r="L552" i="1"/>
  <c r="L589" i="1"/>
  <c r="L590" i="1"/>
  <c r="L862" i="1"/>
  <c r="L861" i="1"/>
  <c r="L634" i="1"/>
  <c r="L635" i="1"/>
  <c r="L440" i="1"/>
  <c r="L439" i="1"/>
  <c r="L270" i="1"/>
  <c r="L271" i="1"/>
  <c r="L922" i="1"/>
  <c r="L240" i="1"/>
  <c r="L691" i="1"/>
  <c r="L412" i="1"/>
  <c r="L411" i="1"/>
  <c r="L46" i="1"/>
  <c r="K411" i="1"/>
  <c r="K326" i="1" s="1"/>
  <c r="L975" i="1"/>
  <c r="L977" i="1" s="1"/>
  <c r="L983" i="1" s="1"/>
  <c r="L851" i="1"/>
  <c r="L888" i="1"/>
  <c r="L328" i="1"/>
  <c r="L8" i="1"/>
  <c r="L499" i="1"/>
  <c r="L498" i="1"/>
  <c r="L125" i="1"/>
  <c r="L701" i="1"/>
  <c r="L702" i="1"/>
  <c r="K5" i="1" l="1"/>
  <c r="K4" i="1" s="1"/>
  <c r="AO4" i="1" s="1"/>
  <c r="L7" i="1"/>
  <c r="L124" i="1"/>
  <c r="L887" i="1"/>
  <c r="L551" i="1"/>
  <c r="L45" i="1"/>
  <c r="L850" i="1"/>
  <c r="L327" i="1"/>
  <c r="L326" i="1"/>
  <c r="L690" i="1" l="1"/>
  <c r="L6" i="1"/>
  <c r="L550" i="1"/>
  <c r="L5" i="1" l="1"/>
  <c r="O416" i="1" l="1"/>
  <c r="O400" i="1"/>
  <c r="O470" i="1"/>
  <c r="E1" i="1"/>
  <c r="K1" i="1"/>
</calcChain>
</file>

<file path=xl/sharedStrings.xml><?xml version="1.0" encoding="utf-8"?>
<sst xmlns="http://schemas.openxmlformats.org/spreadsheetml/2006/main" count="2403" uniqueCount="228">
  <si>
    <t>TITRE</t>
  </si>
  <si>
    <t>SECT-TITRE</t>
  </si>
  <si>
    <t>nouveau code</t>
  </si>
  <si>
    <t>CODE</t>
  </si>
  <si>
    <t>INSTITUTION</t>
  </si>
  <si>
    <t>Projection initiale 16-17</t>
  </si>
  <si>
    <t>Projection initiale 2017-2018</t>
  </si>
  <si>
    <t>Projection rectificative
 2017-2018</t>
  </si>
  <si>
    <t>Exécution
au 30 Septembre 2019</t>
  </si>
  <si>
    <t>Solde des crédits au 30 Septembre 2019</t>
  </si>
  <si>
    <t>% d'exécution</t>
  </si>
  <si>
    <t>TOTAL</t>
  </si>
  <si>
    <t>POUVOIR</t>
  </si>
  <si>
    <t>POUVOIR EXECUTIF</t>
  </si>
  <si>
    <t>SECTEUR</t>
  </si>
  <si>
    <t>SECTEUR ECONOMIQUE</t>
  </si>
  <si>
    <t>MIN</t>
  </si>
  <si>
    <t>1111</t>
  </si>
  <si>
    <t>MINISTERE DE LA PLANIFICATION ET DE LA COOPERATION EXTERNE</t>
  </si>
  <si>
    <t>chap</t>
  </si>
  <si>
    <t>SECTION</t>
  </si>
  <si>
    <t>BUREAU DU MINISTRE</t>
  </si>
  <si>
    <t>article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</si>
  <si>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</si>
  <si>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</si>
  <si>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</si>
  <si>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</si>
  <si>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MINISTERE DE L'ECONOMIE ET DES FINANCES</t>
  </si>
  <si>
    <t>FAES</t>
  </si>
  <si>
    <t>UNITE DE LUTTE CONTRE LA CORRUPTION</t>
  </si>
  <si>
    <t>ECOLE NATIONALE D'ADMINISTRATION FINANCIERE</t>
  </si>
  <si>
    <t>BUREAU DU SECRETAIRE D'ETAT AUX FINANCES</t>
  </si>
  <si>
    <t>SUBVENTIONS D'EXPLOITATION AUX COMPTES SPÉCIAUX DU TRÉSOR ET BUDGETS ANNEXES</t>
  </si>
  <si>
    <t>INSTITUT HAITIEN DE STATISTIQUE ET D'INFORMATIQUE</t>
  </si>
  <si>
    <t>DIRECTION GENERALE DU BUDGET</t>
  </si>
  <si>
    <t>DIRECTION GENERALE DES IMPOTS</t>
  </si>
  <si>
    <t>ADMINISTRATION GENERALE DES DOUANES</t>
  </si>
  <si>
    <t>INSPECTION GENERALE DES FINANCES</t>
  </si>
  <si>
    <t>MINIS. DE L'AGRICULTURE, RESSOURCES NATURELLES/DEVELOP/RURAL</t>
  </si>
  <si>
    <t>ORGANISME DE LA VALLEE DE L'ARTIBONITE</t>
  </si>
  <si>
    <t>INSTITUT NATIONAL DE REFORME AGRAIRE</t>
  </si>
  <si>
    <t>ORGANISME DE DEVELOPPEMENT DU NORD (ODN)</t>
  </si>
  <si>
    <t>INSTITUT NATIONAL DU CAFE D'HAITI (INCAH)</t>
  </si>
  <si>
    <t>MINISTERE DES TRAVAUX PUBLICS, TRANSPORTS ET COMMUNICATIONS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</si>
  <si>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</si>
  <si>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</si>
  <si>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</si>
  <si>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</si>
  <si>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</si>
  <si>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</si>
  <si>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</si>
  <si>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</si>
  <si>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AGENCE NATIONALE DE REGULATION DU SECTEUR ENERGETIQUE</t>
  </si>
  <si>
    <t>MINISTERE DU COMMERCE ET DE L'INDUSTRIE</t>
  </si>
  <si>
    <t>OFFICE DES POSTES</t>
  </si>
  <si>
    <t>DIRECTION GENERALE DES ZONES FRANCHES</t>
  </si>
  <si>
    <t>CENTRE DE FACILITATION DES INVEST(CFI)</t>
  </si>
  <si>
    <t>MINISTERE DE L'ENVIRONNEMENT</t>
  </si>
  <si>
    <t>AGENCE NATIONALE DES AIRES PROTEGEES</t>
  </si>
  <si>
    <t xml:space="preserve">SERVICE NATIONAL DE GESTION DES RESIDUS SOLIDES </t>
  </si>
  <si>
    <t>MINISTERE DU TOURISME</t>
  </si>
  <si>
    <t xml:space="preserve"> </t>
  </si>
  <si>
    <t>ECOLE HOTELIERE</t>
  </si>
  <si>
    <t>SECTEUR POLITIQUE</t>
  </si>
  <si>
    <t>MINISTERE DE LA JUSTICE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</si>
  <si>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</si>
  <si>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</si>
  <si>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</si>
  <si>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</si>
  <si>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</si>
  <si>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POLICE NATIONALE D'HAITI</t>
  </si>
  <si>
    <t>MINISTERE DES HAITIENS VIVANT A L'ETRANGER</t>
  </si>
  <si>
    <t>MINISTERE DES AFFAIRES ETRANGERES</t>
  </si>
  <si>
    <t>LA PRESIDENCE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</si>
  <si>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</si>
  <si>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</si>
  <si>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</si>
  <si>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</si>
  <si>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BUREAU DU PREMIER MINISTRE</t>
  </si>
  <si>
    <t>ADMINISTRATION GENERALE</t>
  </si>
  <si>
    <t>DOTATION POUR COMPTE SPECIAL DU PREMIER MINISTRE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</si>
  <si>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</si>
  <si>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</si>
  <si>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</si>
  <si>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</si>
  <si>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CONSEIL SUPERIEUR DE LA POLICE NATIONALE</t>
  </si>
  <si>
    <t>BUREAU DE COORD. ET DE SUIVI DES ACCORDS CARICOM/OMC/ZLEA</t>
  </si>
  <si>
    <t>APPUI A LA FORMATION</t>
  </si>
  <si>
    <t>CEFOPAFOP</t>
  </si>
  <si>
    <t>BUREAU DE GESTION DES MILITAIRES DEMOBILISES</t>
  </si>
  <si>
    <t>MINISTERE DE L'INTERIEUR &amp; DES COLLECTIVITÉS TERRITORIALES</t>
  </si>
  <si>
    <t>ORGANISME DE SURVEILLANCE MORNE HOPITAL</t>
  </si>
  <si>
    <t>SMCRS</t>
  </si>
  <si>
    <t>MINISTERE DE LA DEFENSE</t>
  </si>
  <si>
    <t>FORCES ARMEES D'HAITI</t>
  </si>
  <si>
    <t>SECTEUR SOCIAL</t>
  </si>
  <si>
    <t>MINISTERE DE L'EDUCATION NATIONALE ET DE L A FORM. PROFESS.</t>
  </si>
  <si>
    <t>COMMISSION NLE DE COOPERATION AVEC L'UNESCO</t>
  </si>
  <si>
    <t>INSTITUT NATIONAL DE FORMATION PROFESSIONNELLE</t>
  </si>
  <si>
    <t>OFFICE NATIONAL DE PARTENARIAT</t>
  </si>
  <si>
    <t>MINISTERE DES AFFAIRES SOCIALES</t>
  </si>
  <si>
    <t>INSTITUT DU BIEN ETRE SOCIAL ET DE RECHERCHES</t>
  </si>
  <si>
    <t>E.P.P.L.S</t>
  </si>
  <si>
    <t>OFFICE NATIONAL DE LA MIGRATION</t>
  </si>
  <si>
    <t>BUREAU DU SECRETAIRE D'ETAT AUX HANDICAPES</t>
  </si>
  <si>
    <t>MINISTERE DE LA SANTE PUBLIQUE ET DE LA POPULATION</t>
  </si>
  <si>
    <t>SUBVENTION AUX ORGANISMES PRIVES ET PUBLICS</t>
  </si>
  <si>
    <t>MINISTERE A LA CONDITION FEMININE</t>
  </si>
  <si>
    <t>DIRECTION GENERALE</t>
  </si>
  <si>
    <t>MINISTERE DE LA JEUNESSE DES SPORTS ET DE L ACTION CIVIQUE</t>
  </si>
  <si>
    <t>SECTEUR CULTUREL</t>
  </si>
  <si>
    <t>MINISTERE DES CULTES</t>
  </si>
  <si>
    <t>MINISTERE DE LA CULTURE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</si>
  <si>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</si>
  <si>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</si>
  <si>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</si>
  <si>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</si>
  <si>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</si>
  <si>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</si>
  <si>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</si>
  <si>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</si>
  <si>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</si>
  <si>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</si>
  <si>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MINISTERE DE LA COMMUNICATION</t>
  </si>
  <si>
    <t>TELEVISION NATIONALE D HAITI</t>
  </si>
  <si>
    <t xml:space="preserve"> RADIO NATIONALE D'HAITI</t>
  </si>
  <si>
    <t>AUTRES ADMINISTRATIONS</t>
  </si>
  <si>
    <t>INTERVENTIONS PUBLIQUES</t>
  </si>
  <si>
    <t>SUBVENTION AUX FONDS DE PENSION</t>
  </si>
  <si>
    <t>AUTRES INSTITUTIONS</t>
  </si>
  <si>
    <t>AUTRES INTERVENTIONS PUBLIQUES</t>
  </si>
  <si>
    <t>DETTE PUBLIQUE</t>
  </si>
  <si>
    <t>INSTITUTIONS FINANCIERES CREATRICES DE MONNAIE</t>
  </si>
  <si>
    <t>AUTRES INSTITUTIONS FINANCIERES</t>
  </si>
  <si>
    <t>AUTRES CREANCIERS INTERNES</t>
  </si>
  <si>
    <t>DETTE MULTILATERALE</t>
  </si>
  <si>
    <t>DETTE BILATERALE</t>
  </si>
  <si>
    <t>AUTRES DETTES EXTERNES</t>
  </si>
  <si>
    <t>POUVOIR LEGISLATIF</t>
  </si>
  <si>
    <t>SENAT DE LA REPUBLIQUE</t>
  </si>
  <si>
    <t>ASSEMBLEE DES SENATEURS</t>
  </si>
  <si>
    <t>CHAMBRE DES DEPUTES</t>
  </si>
  <si>
    <t>QUESTURE DE LA CHAMBRE DES DEPUTES</t>
  </si>
  <si>
    <t>SECRETARIAT GENERAL</t>
  </si>
  <si>
    <t>POUVOIR JUDICIAIRE</t>
  </si>
  <si>
    <t>CONSEIL SUPERIEUR DU POUVOIR JUDICIAIRE</t>
  </si>
  <si>
    <t>COUR DE CASSATION</t>
  </si>
  <si>
    <t xml:space="preserve">COUR D'APPEL </t>
  </si>
  <si>
    <t>TRIBUNAUX</t>
  </si>
  <si>
    <t>ORGANISMES INDEPENDANTS</t>
  </si>
  <si>
    <t>COUR SUPERIEURE DES COMPTES ET DU CONTENTIEUX</t>
  </si>
  <si>
    <t>CONSEIL DE LA COUR</t>
  </si>
  <si>
    <t>CONSEIL ELECTORAL</t>
  </si>
  <si>
    <t>OFFICE DE PROTECTION DU CITOYEN</t>
  </si>
  <si>
    <t>UNIVERSITE D'ETAT D'HAITI</t>
  </si>
  <si>
    <t>RECTORAT DE L UNIVERSITE D ETAT D HAITI</t>
  </si>
  <si>
    <t>RESUME</t>
  </si>
  <si>
    <t>DEPENSES DE PERSONNEL</t>
  </si>
  <si>
    <t>DEPENSES DE SERVICES ET CHARGES DIVERSES</t>
  </si>
  <si>
    <t>ACHATS DE BIENS DE CONSOMMATION ET PETIT MATERIEL</t>
  </si>
  <si>
    <t xml:space="preserve">IMMOBILISATIONS CORPORELLES </t>
  </si>
  <si>
    <t>IMMOBILISATIONS INCORPORELLES</t>
  </si>
  <si>
    <t>SUBVENTIONS, QUOTES  PARTS ET CONTRIBUTIONS, ALLOCATIONS, INDEMNISATIONS</t>
  </si>
  <si>
    <t>AMORTISSEMENT DE LA DETTE PUBLIQUE</t>
  </si>
  <si>
    <t>AUTRES DEPENSES PUBLIQUES</t>
  </si>
  <si>
    <t>HEK ERR</t>
  </si>
  <si>
    <t/>
  </si>
  <si>
    <t>Projection 18-19 JUIN</t>
  </si>
  <si>
    <t>Projection 18-19 PROPOSEE</t>
  </si>
  <si>
    <t>Exécution
Oct. 2018</t>
  </si>
  <si>
    <t>Exécution
Nov. 2018</t>
  </si>
  <si>
    <t>Exécution
Déc. 2018</t>
  </si>
  <si>
    <t>Exécution
Jan. 2019</t>
  </si>
  <si>
    <t>Exécution
Fév. 2019</t>
  </si>
  <si>
    <t>Exécution
Mar. 2019</t>
  </si>
  <si>
    <t>Exécution
Avr. 2019</t>
  </si>
  <si>
    <t>Exécution
Mai 2019</t>
  </si>
  <si>
    <t>Exécution
Juin 2019</t>
  </si>
  <si>
    <t>Exécution
Juil. 2019</t>
  </si>
  <si>
    <t>Exécution
Aout 2019</t>
  </si>
  <si>
    <t>Exécution
Sep. 2019</t>
  </si>
  <si>
    <t>Exécution
Au 30 sep 2019</t>
  </si>
  <si>
    <t>Solde par rapport aux crédits reconduits</t>
  </si>
  <si>
    <t>Solde par rapport aux crédits proposés</t>
  </si>
  <si>
    <t>% d'exécution des crédits reconduits</t>
  </si>
  <si>
    <t>% d'exécution des crédits proposés</t>
  </si>
  <si>
    <t>Variation en glissement annuel</t>
  </si>
  <si>
    <t>Exécution au
30 Nov. 2017</t>
  </si>
  <si>
    <t>Total Ressources</t>
  </si>
  <si>
    <t>Recettes Courantes</t>
  </si>
  <si>
    <t xml:space="preserve">  Recettes internes</t>
  </si>
  <si>
    <t xml:space="preserve">  Recettes douanières</t>
  </si>
  <si>
    <t xml:space="preserve"> Autres ressources domestiques</t>
  </si>
  <si>
    <t>Support budgétaire</t>
  </si>
  <si>
    <t>Annulation dette FMI</t>
  </si>
  <si>
    <t>Autre Financement Interne des projets</t>
  </si>
  <si>
    <t>Don&amp;emp.</t>
  </si>
  <si>
    <t>Res. BANDES</t>
  </si>
  <si>
    <t>Bons du Trésor</t>
  </si>
  <si>
    <t>Dépenses Totales</t>
  </si>
  <si>
    <t>Depenses courantes</t>
  </si>
  <si>
    <t>Dépenses de personnel</t>
  </si>
  <si>
    <t xml:space="preserve">Dépenses Biens et services </t>
  </si>
  <si>
    <t xml:space="preserve">Hors interventions publiques </t>
  </si>
  <si>
    <t>Sur Interventions Publiques</t>
  </si>
  <si>
    <t xml:space="preserve">Quote Part  et Subventions </t>
  </si>
  <si>
    <t>Institutions à crédit ventilé</t>
  </si>
  <si>
    <t>Interventions publiques</t>
  </si>
  <si>
    <t>Intérêt de la Dette</t>
  </si>
  <si>
    <t>Intérêt Interne</t>
  </si>
  <si>
    <t>Intérêt Externe</t>
  </si>
  <si>
    <t>Dépenses de Capital</t>
  </si>
  <si>
    <t>Programmes et projets</t>
  </si>
  <si>
    <t>Sur Trésor Public</t>
  </si>
  <si>
    <t>Sur Annulation dette FMI</t>
  </si>
  <si>
    <t>Sur Autres financement interne</t>
  </si>
  <si>
    <t>Sur dons et emprunts</t>
  </si>
  <si>
    <t>Sur BANDES</t>
  </si>
  <si>
    <t>Immobilisation</t>
  </si>
  <si>
    <t>Amortissement de la Dette</t>
  </si>
  <si>
    <t>Amort. Interne</t>
  </si>
  <si>
    <t>Amort. Externe</t>
  </si>
  <si>
    <t>Solde</t>
  </si>
  <si>
    <t>Total dépenses (hors programmes et projets)</t>
  </si>
  <si>
    <t xml:space="preserve">NB: les recettes sont comptabilisées au 25 février et les dépenses au 27 février </t>
  </si>
  <si>
    <t>B&amp;S</t>
  </si>
  <si>
    <t>B&amp;S Hors IP</t>
  </si>
  <si>
    <t>Projection 17-18 RECTIFIEE RECONDUIT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</si>
</sst>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\ _€_-;\-* #,##0\ _€_-;_-* &quot;-&quot;??\ _€_-;_-@_-"/>
    <numFmt numFmtId="167" formatCode="###&quot;-&quot;#&quot;-&quot;##&quot;-&quot;"/>
    <numFmt numFmtId="168" formatCode="0_);\(0\)"/>
    <numFmt numFmtId="169" formatCode="#&quot;-&quot;#"/>
    <numFmt numFmtId="170" formatCode="#,##0.0"/>
    <numFmt numFmtId="171" formatCode="##&quot;-&quot;#&quot;-&quot;##&quot;-&quot;#"/>
    <numFmt numFmtId="172" formatCode="_ * #,##0.00_)\ _$_ ;_ * \(#,##0.00\)\ _$_ ;_ * &quot;-&quot;??_)\ _$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3" tint="0.39997558519241921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1"/>
        <bgColor indexed="44"/>
      </patternFill>
    </fill>
    <fill>
      <patternFill patternType="solid">
        <fgColor theme="0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31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0" fillId="0" borderId="0" xfId="0" applyAlignment="1">
      <alignment vertical="center"/>
    </xf>
    <xf numFmtId="164" fontId="4" fillId="0" borderId="0" xfId="3" applyNumberFormat="1" applyFont="1" applyAlignment="1">
      <alignment vertical="center"/>
    </xf>
    <xf numFmtId="16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5" fontId="0" fillId="0" borderId="1" xfId="2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166" fontId="0" fillId="0" borderId="0" xfId="0" applyNumberFormat="1" applyAlignment="1">
      <alignment vertical="center"/>
    </xf>
    <xf numFmtId="167" fontId="4" fillId="2" borderId="0" xfId="3" applyNumberFormat="1" applyFont="1" applyFill="1" applyAlignment="1">
      <alignment horizontal="right" vertical="center"/>
    </xf>
    <xf numFmtId="43" fontId="5" fillId="2" borderId="0" xfId="3" applyFont="1" applyFill="1" applyAlignment="1">
      <alignment vertical="center"/>
    </xf>
    <xf numFmtId="43" fontId="5" fillId="2" borderId="2" xfId="3" applyFont="1" applyFill="1" applyBorder="1" applyAlignment="1">
      <alignment horizontal="center" vertical="center" wrapText="1"/>
    </xf>
    <xf numFmtId="43" fontId="6" fillId="0" borderId="0" xfId="3" applyNumberFormat="1" applyFont="1" applyAlignment="1">
      <alignment horizontal="center" vertical="top" wrapText="1"/>
    </xf>
    <xf numFmtId="43" fontId="1" fillId="0" borderId="0" xfId="1" applyFont="1"/>
    <xf numFmtId="43" fontId="0" fillId="0" borderId="0" xfId="0" applyNumberFormat="1"/>
    <xf numFmtId="167" fontId="4" fillId="2" borderId="0" xfId="3" applyNumberFormat="1" applyFont="1" applyFill="1" applyAlignment="1">
      <alignment horizontal="right" vertical="top"/>
    </xf>
    <xf numFmtId="43" fontId="5" fillId="2" borderId="0" xfId="3" applyFont="1" applyFill="1"/>
    <xf numFmtId="168" fontId="8" fillId="3" borderId="9" xfId="3" applyNumberFormat="1" applyFont="1" applyFill="1" applyBorder="1" applyAlignment="1">
      <alignment horizontal="right" vertical="center"/>
    </xf>
    <xf numFmtId="0" fontId="8" fillId="3" borderId="9" xfId="3" applyNumberFormat="1" applyFont="1" applyFill="1" applyBorder="1" applyAlignment="1">
      <alignment horizontal="left" vertical="center" wrapText="1"/>
    </xf>
    <xf numFmtId="164" fontId="9" fillId="3" borderId="9" xfId="1" applyNumberFormat="1" applyFont="1" applyFill="1" applyBorder="1" applyAlignment="1">
      <alignment vertical="center"/>
    </xf>
    <xf numFmtId="165" fontId="9" fillId="3" borderId="9" xfId="2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66" fontId="8" fillId="3" borderId="10" xfId="3" applyNumberFormat="1" applyFont="1" applyFill="1" applyBorder="1" applyAlignment="1">
      <alignment vertical="center"/>
    </xf>
    <xf numFmtId="0" fontId="5" fillId="2" borderId="0" xfId="4" applyFont="1" applyFill="1" applyAlignment="1">
      <alignment vertical="center"/>
    </xf>
    <xf numFmtId="168" fontId="5" fillId="2" borderId="11" xfId="3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left" vertical="center" wrapText="1"/>
    </xf>
    <xf numFmtId="164" fontId="10" fillId="2" borderId="10" xfId="1" applyNumberFormat="1" applyFont="1" applyFill="1" applyBorder="1" applyAlignment="1">
      <alignment vertical="center"/>
    </xf>
    <xf numFmtId="165" fontId="10" fillId="2" borderId="10" xfId="2" applyNumberFormat="1" applyFont="1" applyFill="1" applyBorder="1" applyAlignment="1">
      <alignment vertical="center"/>
    </xf>
    <xf numFmtId="3" fontId="5" fillId="2" borderId="10" xfId="3" applyNumberFormat="1" applyFont="1" applyFill="1" applyBorder="1" applyAlignment="1">
      <alignment vertical="center"/>
    </xf>
    <xf numFmtId="0" fontId="5" fillId="0" borderId="0" xfId="4" applyFont="1" applyAlignment="1">
      <alignment vertical="center"/>
    </xf>
    <xf numFmtId="168" fontId="5" fillId="0" borderId="10" xfId="3" applyNumberFormat="1" applyFont="1" applyBorder="1" applyAlignment="1">
      <alignment horizontal="right" vertical="center"/>
    </xf>
    <xf numFmtId="0" fontId="5" fillId="0" borderId="10" xfId="3" applyNumberFormat="1" applyFont="1" applyFill="1" applyBorder="1" applyAlignment="1">
      <alignment horizontal="left" vertical="center" wrapText="1"/>
    </xf>
    <xf numFmtId="164" fontId="10" fillId="0" borderId="10" xfId="1" applyNumberFormat="1" applyFont="1" applyBorder="1" applyAlignment="1">
      <alignment vertical="center"/>
    </xf>
    <xf numFmtId="165" fontId="10" fillId="0" borderId="10" xfId="2" applyNumberFormat="1" applyFont="1" applyBorder="1" applyAlignment="1">
      <alignment vertical="center"/>
    </xf>
    <xf numFmtId="3" fontId="5" fillId="0" borderId="10" xfId="3" applyNumberFormat="1" applyFont="1" applyBorder="1" applyAlignment="1">
      <alignment vertical="center"/>
    </xf>
    <xf numFmtId="0" fontId="6" fillId="4" borderId="0" xfId="4" applyFont="1" applyFill="1" applyAlignment="1">
      <alignment vertical="center"/>
    </xf>
    <xf numFmtId="168" fontId="6" fillId="4" borderId="0" xfId="3" applyNumberFormat="1" applyFont="1" applyFill="1" applyAlignment="1">
      <alignment horizontal="right" vertical="center"/>
    </xf>
    <xf numFmtId="1" fontId="6" fillId="4" borderId="0" xfId="3" applyNumberFormat="1" applyFont="1" applyFill="1" applyBorder="1" applyAlignment="1">
      <alignment horizontal="left" vertical="center" wrapText="1"/>
    </xf>
    <xf numFmtId="164" fontId="7" fillId="4" borderId="0" xfId="1" applyNumberFormat="1" applyFont="1" applyFill="1" applyAlignment="1">
      <alignment vertical="center"/>
    </xf>
    <xf numFmtId="165" fontId="7" fillId="4" borderId="0" xfId="2" applyNumberFormat="1" applyFont="1" applyFill="1" applyAlignment="1">
      <alignment vertical="center"/>
    </xf>
    <xf numFmtId="3" fontId="6" fillId="4" borderId="0" xfId="3" applyNumberFormat="1" applyFont="1" applyFill="1" applyAlignment="1">
      <alignment vertical="center"/>
    </xf>
    <xf numFmtId="0" fontId="6" fillId="5" borderId="0" xfId="4" applyFont="1" applyFill="1" applyAlignment="1">
      <alignment vertical="center"/>
    </xf>
    <xf numFmtId="169" fontId="6" fillId="5" borderId="0" xfId="3" applyNumberFormat="1" applyFont="1" applyFill="1" applyAlignment="1">
      <alignment horizontal="right" vertical="center"/>
    </xf>
    <xf numFmtId="1" fontId="6" fillId="5" borderId="0" xfId="3" applyNumberFormat="1" applyFont="1" applyFill="1" applyBorder="1" applyAlignment="1">
      <alignment horizontal="left" vertical="center"/>
    </xf>
    <xf numFmtId="164" fontId="7" fillId="5" borderId="0" xfId="1" applyNumberFormat="1" applyFont="1" applyFill="1" applyAlignment="1">
      <alignment vertical="center"/>
    </xf>
    <xf numFmtId="165" fontId="7" fillId="5" borderId="0" xfId="2" applyNumberFormat="1" applyFont="1" applyFill="1" applyAlignment="1">
      <alignment vertical="center"/>
    </xf>
    <xf numFmtId="164" fontId="4" fillId="5" borderId="0" xfId="5" applyNumberFormat="1" applyFill="1" applyAlignment="1">
      <alignment vertical="center"/>
    </xf>
    <xf numFmtId="0" fontId="4" fillId="5" borderId="0" xfId="5" applyFill="1" applyAlignment="1">
      <alignment vertical="center"/>
    </xf>
    <xf numFmtId="0" fontId="6" fillId="2" borderId="11" xfId="4" applyFont="1" applyFill="1" applyBorder="1" applyAlignment="1">
      <alignment vertical="center"/>
    </xf>
    <xf numFmtId="167" fontId="6" fillId="2" borderId="0" xfId="3" applyNumberFormat="1" applyFont="1" applyFill="1" applyAlignment="1">
      <alignment horizontal="right" vertical="center"/>
    </xf>
    <xf numFmtId="1" fontId="6" fillId="2" borderId="0" xfId="3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vertical="center"/>
    </xf>
    <xf numFmtId="165" fontId="7" fillId="2" borderId="0" xfId="2" applyNumberFormat="1" applyFont="1" applyFill="1" applyAlignment="1">
      <alignment vertical="center"/>
    </xf>
    <xf numFmtId="3" fontId="6" fillId="2" borderId="0" xfId="3" applyNumberFormat="1" applyFont="1" applyFill="1" applyAlignment="1">
      <alignment vertical="center"/>
    </xf>
    <xf numFmtId="0" fontId="4" fillId="0" borderId="0" xfId="4" applyFont="1" applyAlignment="1">
      <alignment vertical="center"/>
    </xf>
    <xf numFmtId="167" fontId="4" fillId="0" borderId="0" xfId="4" applyNumberFormat="1" applyFont="1" applyAlignment="1">
      <alignment vertical="center"/>
    </xf>
    <xf numFmtId="168" fontId="4" fillId="0" borderId="0" xfId="3" applyNumberFormat="1" applyFont="1" applyAlignment="1">
      <alignment horizontal="right" vertical="center"/>
    </xf>
    <xf numFmtId="168" fontId="4" fillId="0" borderId="0" xfId="3" applyNumberFormat="1" applyFont="1" applyAlignment="1">
      <alignment horizontal="left" vertical="center" wrapText="1"/>
    </xf>
    <xf numFmtId="164" fontId="11" fillId="0" borderId="0" xfId="1" applyNumberFormat="1" applyFont="1" applyAlignment="1">
      <alignment vertical="center"/>
    </xf>
    <xf numFmtId="165" fontId="11" fillId="0" borderId="0" xfId="2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4" fillId="0" borderId="0" xfId="3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6" fillId="2" borderId="11" xfId="3" applyNumberFormat="1" applyFont="1" applyFill="1" applyBorder="1" applyAlignment="1">
      <alignment horizontal="left" vertical="center" wrapText="1"/>
    </xf>
    <xf numFmtId="164" fontId="7" fillId="2" borderId="11" xfId="1" applyNumberFormat="1" applyFont="1" applyFill="1" applyBorder="1" applyAlignment="1">
      <alignment vertical="center"/>
    </xf>
    <xf numFmtId="165" fontId="7" fillId="2" borderId="11" xfId="2" applyNumberFormat="1" applyFont="1" applyFill="1" applyBorder="1" applyAlignment="1">
      <alignment vertical="center"/>
    </xf>
    <xf numFmtId="3" fontId="6" fillId="2" borderId="11" xfId="3" applyNumberFormat="1" applyFont="1" applyFill="1" applyBorder="1" applyAlignment="1">
      <alignment vertical="center"/>
    </xf>
    <xf numFmtId="0" fontId="12" fillId="2" borderId="11" xfId="4" applyFont="1" applyFill="1" applyBorder="1" applyAlignment="1">
      <alignment vertical="center"/>
    </xf>
    <xf numFmtId="0" fontId="12" fillId="4" borderId="0" xfId="4" applyFont="1" applyFill="1" applyAlignment="1">
      <alignment vertical="center"/>
    </xf>
    <xf numFmtId="0" fontId="6" fillId="4" borderId="0" xfId="3" applyNumberFormat="1" applyFont="1" applyFill="1" applyAlignment="1">
      <alignment horizontal="right" vertical="center"/>
    </xf>
    <xf numFmtId="1" fontId="6" fillId="4" borderId="11" xfId="3" applyNumberFormat="1" applyFont="1" applyFill="1" applyBorder="1" applyAlignment="1">
      <alignment horizontal="left" vertical="center" wrapText="1"/>
    </xf>
    <xf numFmtId="164" fontId="7" fillId="4" borderId="11" xfId="1" applyNumberFormat="1" applyFont="1" applyFill="1" applyBorder="1" applyAlignment="1">
      <alignment vertical="center"/>
    </xf>
    <xf numFmtId="165" fontId="7" fillId="4" borderId="11" xfId="2" applyNumberFormat="1" applyFont="1" applyFill="1" applyBorder="1" applyAlignment="1">
      <alignment vertical="center"/>
    </xf>
    <xf numFmtId="3" fontId="6" fillId="4" borderId="11" xfId="3" applyNumberFormat="1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vertical="center"/>
    </xf>
    <xf numFmtId="0" fontId="6" fillId="2" borderId="0" xfId="4" applyFont="1" applyFill="1" applyBorder="1" applyAlignment="1">
      <alignment vertical="center"/>
    </xf>
    <xf numFmtId="0" fontId="6" fillId="2" borderId="11" xfId="3" applyNumberFormat="1" applyFont="1" applyFill="1" applyBorder="1" applyAlignment="1">
      <alignment horizontal="left" vertical="center" wrapText="1"/>
    </xf>
    <xf numFmtId="0" fontId="13" fillId="0" borderId="0" xfId="4" applyFont="1" applyAlignment="1">
      <alignment vertical="center"/>
    </xf>
    <xf numFmtId="1" fontId="6" fillId="2" borderId="11" xfId="3" applyNumberFormat="1" applyFont="1" applyFill="1" applyBorder="1" applyAlignment="1">
      <alignment horizontal="left" vertical="center"/>
    </xf>
    <xf numFmtId="164" fontId="6" fillId="2" borderId="11" xfId="1" applyNumberFormat="1" applyFont="1" applyFill="1" applyBorder="1" applyAlignment="1">
      <alignment vertical="center"/>
    </xf>
    <xf numFmtId="168" fontId="5" fillId="0" borderId="11" xfId="3" applyNumberFormat="1" applyFont="1" applyBorder="1" applyAlignment="1">
      <alignment horizontal="right" vertical="center"/>
    </xf>
    <xf numFmtId="0" fontId="5" fillId="0" borderId="11" xfId="3" applyNumberFormat="1" applyFont="1" applyFill="1" applyBorder="1" applyAlignment="1">
      <alignment horizontal="left" vertical="center" wrapText="1"/>
    </xf>
    <xf numFmtId="164" fontId="10" fillId="0" borderId="11" xfId="1" applyNumberFormat="1" applyFont="1" applyBorder="1" applyAlignment="1">
      <alignment vertical="center"/>
    </xf>
    <xf numFmtId="165" fontId="10" fillId="0" borderId="11" xfId="2" applyNumberFormat="1" applyFont="1" applyBorder="1" applyAlignment="1">
      <alignment vertical="center"/>
    </xf>
    <xf numFmtId="3" fontId="5" fillId="0" borderId="11" xfId="3" applyNumberFormat="1" applyFont="1" applyBorder="1" applyAlignment="1">
      <alignment vertical="center"/>
    </xf>
    <xf numFmtId="3" fontId="14" fillId="4" borderId="11" xfId="3" applyNumberFormat="1" applyFont="1" applyFill="1" applyBorder="1" applyAlignment="1">
      <alignment vertical="center"/>
    </xf>
    <xf numFmtId="9" fontId="1" fillId="0" borderId="0" xfId="2" applyFont="1" applyAlignment="1">
      <alignment vertical="center"/>
    </xf>
    <xf numFmtId="1" fontId="6" fillId="4" borderId="11" xfId="3" applyNumberFormat="1" applyFont="1" applyFill="1" applyBorder="1" applyAlignment="1">
      <alignment horizontal="left" vertical="center"/>
    </xf>
    <xf numFmtId="43" fontId="0" fillId="0" borderId="0" xfId="0" applyNumberFormat="1" applyAlignment="1">
      <alignment vertical="center"/>
    </xf>
    <xf numFmtId="168" fontId="4" fillId="0" borderId="0" xfId="3" applyNumberFormat="1" applyFont="1" applyFill="1" applyAlignment="1">
      <alignment horizontal="right" vertical="center"/>
    </xf>
    <xf numFmtId="3" fontId="4" fillId="0" borderId="0" xfId="3" applyNumberFormat="1" applyFont="1" applyFill="1" applyAlignment="1">
      <alignment vertical="center"/>
    </xf>
    <xf numFmtId="43" fontId="4" fillId="0" borderId="0" xfId="4" applyNumberFormat="1" applyFont="1" applyAlignment="1">
      <alignment vertical="center"/>
    </xf>
    <xf numFmtId="164" fontId="11" fillId="0" borderId="0" xfId="1" applyNumberFormat="1" applyFont="1" applyFill="1" applyAlignment="1">
      <alignment vertical="center"/>
    </xf>
    <xf numFmtId="3" fontId="4" fillId="0" borderId="0" xfId="3" applyNumberFormat="1" applyFont="1" applyBorder="1" applyAlignment="1">
      <alignment vertical="center"/>
    </xf>
    <xf numFmtId="0" fontId="4" fillId="0" borderId="0" xfId="6" applyFont="1" applyAlignment="1">
      <alignment vertical="center"/>
    </xf>
    <xf numFmtId="3" fontId="4" fillId="5" borderId="0" xfId="5" applyNumberForma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4" fillId="6" borderId="0" xfId="4" applyFont="1" applyFill="1" applyAlignment="1">
      <alignment vertical="center"/>
    </xf>
    <xf numFmtId="168" fontId="4" fillId="6" borderId="0" xfId="3" applyNumberFormat="1" applyFont="1" applyFill="1" applyAlignment="1">
      <alignment horizontal="right" vertical="center"/>
    </xf>
    <xf numFmtId="43" fontId="1" fillId="6" borderId="0" xfId="1" applyFont="1" applyFill="1" applyAlignment="1">
      <alignment vertical="center"/>
    </xf>
    <xf numFmtId="0" fontId="0" fillId="6" borderId="0" xfId="0" applyFont="1" applyFill="1" applyAlignment="1">
      <alignment vertical="center"/>
    </xf>
    <xf numFmtId="3" fontId="0" fillId="6" borderId="0" xfId="0" applyNumberFormat="1" applyFont="1" applyFill="1" applyAlignment="1">
      <alignment vertical="center"/>
    </xf>
    <xf numFmtId="3" fontId="4" fillId="6" borderId="0" xfId="3" applyNumberFormat="1" applyFont="1" applyFill="1" applyAlignment="1">
      <alignment vertical="center"/>
    </xf>
    <xf numFmtId="10" fontId="0" fillId="0" borderId="0" xfId="2" applyNumberFormat="1" applyFont="1" applyAlignment="1">
      <alignment vertical="center"/>
    </xf>
    <xf numFmtId="168" fontId="4" fillId="3" borderId="0" xfId="3" applyNumberFormat="1" applyFont="1" applyFill="1" applyAlignment="1">
      <alignment horizontal="right" vertical="center"/>
    </xf>
    <xf numFmtId="3" fontId="4" fillId="3" borderId="0" xfId="3" applyNumberFormat="1" applyFont="1" applyFill="1" applyAlignment="1">
      <alignment vertical="center"/>
    </xf>
    <xf numFmtId="0" fontId="5" fillId="2" borderId="11" xfId="4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horizontal="left" vertical="center" wrapText="1"/>
    </xf>
    <xf numFmtId="164" fontId="10" fillId="2" borderId="11" xfId="1" applyNumberFormat="1" applyFont="1" applyFill="1" applyBorder="1" applyAlignment="1">
      <alignment vertical="center"/>
    </xf>
    <xf numFmtId="165" fontId="10" fillId="2" borderId="11" xfId="2" applyNumberFormat="1" applyFont="1" applyFill="1" applyBorder="1" applyAlignment="1">
      <alignment vertical="center"/>
    </xf>
    <xf numFmtId="3" fontId="5" fillId="2" borderId="11" xfId="3" applyNumberFormat="1" applyFont="1" applyFill="1" applyBorder="1" applyAlignment="1">
      <alignment vertical="center"/>
    </xf>
    <xf numFmtId="171" fontId="0" fillId="0" borderId="0" xfId="0" applyNumberFormat="1" applyAlignment="1">
      <alignment horizontal="right" vertical="center"/>
    </xf>
    <xf numFmtId="0" fontId="4" fillId="0" borderId="0" xfId="4" applyFont="1"/>
    <xf numFmtId="0" fontId="15" fillId="7" borderId="0" xfId="0" applyFont="1" applyFill="1"/>
    <xf numFmtId="168" fontId="6" fillId="7" borderId="0" xfId="3" applyNumberFormat="1" applyFont="1" applyFill="1" applyAlignment="1">
      <alignment horizontal="left" vertical="top" wrapText="1"/>
    </xf>
    <xf numFmtId="164" fontId="3" fillId="7" borderId="0" xfId="1" applyNumberFormat="1" applyFont="1" applyFill="1"/>
    <xf numFmtId="164" fontId="3" fillId="7" borderId="0" xfId="1" applyNumberFormat="1" applyFont="1" applyFill="1" applyAlignment="1">
      <alignment vertical="center"/>
    </xf>
    <xf numFmtId="165" fontId="3" fillId="7" borderId="0" xfId="2" applyNumberFormat="1" applyFont="1" applyFill="1" applyAlignment="1">
      <alignment vertical="center"/>
    </xf>
    <xf numFmtId="164" fontId="4" fillId="0" borderId="0" xfId="3" applyNumberFormat="1" applyFont="1" applyAlignment="1">
      <alignment vertical="top"/>
    </xf>
    <xf numFmtId="3" fontId="0" fillId="0" borderId="0" xfId="0" applyNumberFormat="1"/>
    <xf numFmtId="168" fontId="4" fillId="0" borderId="0" xfId="3" applyNumberFormat="1" applyFont="1" applyAlignment="1">
      <alignment horizontal="right" vertical="top"/>
    </xf>
    <xf numFmtId="168" fontId="4" fillId="0" borderId="0" xfId="3" applyNumberFormat="1" applyFont="1" applyAlignment="1">
      <alignment horizontal="left" vertical="top" wrapText="1"/>
    </xf>
    <xf numFmtId="164" fontId="11" fillId="0" borderId="0" xfId="1" applyNumberFormat="1" applyFont="1" applyBorder="1" applyAlignment="1">
      <alignment vertical="top"/>
    </xf>
    <xf numFmtId="164" fontId="11" fillId="0" borderId="0" xfId="1" applyNumberFormat="1" applyFont="1" applyAlignment="1">
      <alignment vertical="top"/>
    </xf>
    <xf numFmtId="164" fontId="16" fillId="0" borderId="0" xfId="3" applyNumberFormat="1" applyFont="1" applyAlignment="1">
      <alignment vertical="top"/>
    </xf>
    <xf numFmtId="164" fontId="6" fillId="0" borderId="0" xfId="3" applyNumberFormat="1" applyFont="1" applyAlignment="1">
      <alignment vertical="top"/>
    </xf>
    <xf numFmtId="0" fontId="4" fillId="0" borderId="0" xfId="4"/>
    <xf numFmtId="164" fontId="1" fillId="0" borderId="0" xfId="1" applyNumberFormat="1" applyFont="1" applyAlignment="1">
      <alignment vertical="center"/>
    </xf>
    <xf numFmtId="165" fontId="1" fillId="0" borderId="0" xfId="2" applyNumberFormat="1" applyFont="1" applyAlignment="1">
      <alignment vertical="center"/>
    </xf>
    <xf numFmtId="0" fontId="17" fillId="0" borderId="0" xfId="0" applyFont="1"/>
    <xf numFmtId="0" fontId="17" fillId="7" borderId="0" xfId="0" applyFont="1" applyFill="1"/>
    <xf numFmtId="43" fontId="17" fillId="0" borderId="0" xfId="1" applyFont="1"/>
    <xf numFmtId="164" fontId="1" fillId="0" borderId="0" xfId="1" applyNumberFormat="1" applyFont="1"/>
    <xf numFmtId="3" fontId="17" fillId="0" borderId="0" xfId="0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vertical="center"/>
    </xf>
    <xf numFmtId="165" fontId="3" fillId="0" borderId="0" xfId="2" applyNumberFormat="1" applyFont="1" applyAlignment="1">
      <alignment vertical="center"/>
    </xf>
    <xf numFmtId="3" fontId="15" fillId="0" borderId="0" xfId="0" applyNumberFormat="1" applyFont="1"/>
    <xf numFmtId="43" fontId="0" fillId="0" borderId="0" xfId="1" applyFont="1"/>
    <xf numFmtId="164" fontId="0" fillId="0" borderId="0" xfId="0" applyNumberFormat="1"/>
    <xf numFmtId="168" fontId="6" fillId="0" borderId="0" xfId="3" applyNumberFormat="1" applyFont="1" applyAlignment="1">
      <alignment horizontal="left" vertical="top" wrapText="1"/>
    </xf>
    <xf numFmtId="168" fontId="18" fillId="8" borderId="0" xfId="3" applyNumberFormat="1" applyFont="1" applyFill="1" applyAlignment="1">
      <alignment horizontal="right" vertical="top"/>
    </xf>
    <xf numFmtId="0" fontId="19" fillId="0" borderId="12" xfId="7" applyFont="1" applyBorder="1"/>
    <xf numFmtId="164" fontId="20" fillId="0" borderId="13" xfId="1" applyNumberFormat="1" applyFont="1" applyBorder="1" applyAlignment="1">
      <alignment horizontal="center" vertical="center" wrapText="1"/>
    </xf>
    <xf numFmtId="164" fontId="20" fillId="0" borderId="14" xfId="1" applyNumberFormat="1" applyFont="1" applyBorder="1" applyAlignment="1">
      <alignment horizontal="center" vertical="center" wrapText="1"/>
    </xf>
    <xf numFmtId="164" fontId="20" fillId="0" borderId="15" xfId="1" applyNumberFormat="1" applyFont="1" applyBorder="1" applyAlignment="1">
      <alignment horizontal="center" vertical="center" wrapText="1"/>
    </xf>
    <xf numFmtId="17" fontId="20" fillId="0" borderId="16" xfId="7" applyNumberFormat="1" applyFont="1" applyBorder="1" applyAlignment="1">
      <alignment horizontal="center" vertical="center" wrapText="1"/>
    </xf>
    <xf numFmtId="0" fontId="4" fillId="0" borderId="0" xfId="7"/>
    <xf numFmtId="17" fontId="20" fillId="0" borderId="0" xfId="7" applyNumberFormat="1" applyFont="1" applyBorder="1" applyAlignment="1">
      <alignment horizontal="center" vertical="center" wrapText="1"/>
    </xf>
    <xf numFmtId="43" fontId="4" fillId="0" borderId="0" xfId="1" applyFont="1"/>
    <xf numFmtId="164" fontId="4" fillId="0" borderId="0" xfId="7" applyNumberFormat="1"/>
    <xf numFmtId="0" fontId="21" fillId="9" borderId="17" xfId="7" applyFont="1" applyFill="1" applyBorder="1"/>
    <xf numFmtId="164" fontId="21" fillId="9" borderId="18" xfId="1" applyNumberFormat="1" applyFont="1" applyFill="1" applyBorder="1"/>
    <xf numFmtId="165" fontId="21" fillId="9" borderId="19" xfId="2" applyNumberFormat="1" applyFont="1" applyFill="1" applyBorder="1"/>
    <xf numFmtId="165" fontId="21" fillId="9" borderId="20" xfId="2" applyNumberFormat="1" applyFont="1" applyFill="1" applyBorder="1"/>
    <xf numFmtId="10" fontId="21" fillId="9" borderId="21" xfId="8" applyNumberFormat="1" applyFont="1" applyFill="1" applyBorder="1"/>
    <xf numFmtId="3" fontId="21" fillId="9" borderId="18" xfId="7" applyNumberFormat="1" applyFont="1" applyFill="1" applyBorder="1"/>
    <xf numFmtId="0" fontId="22" fillId="10" borderId="22" xfId="7" applyFont="1" applyFill="1" applyBorder="1" applyAlignment="1">
      <alignment horizontal="left" vertical="center"/>
    </xf>
    <xf numFmtId="164" fontId="22" fillId="10" borderId="23" xfId="1" applyNumberFormat="1" applyFont="1" applyFill="1" applyBorder="1" applyAlignment="1">
      <alignment vertical="center"/>
    </xf>
    <xf numFmtId="165" fontId="22" fillId="10" borderId="24" xfId="2" applyNumberFormat="1" applyFont="1" applyFill="1" applyBorder="1" applyAlignment="1">
      <alignment vertical="center"/>
    </xf>
    <xf numFmtId="165" fontId="22" fillId="10" borderId="25" xfId="2" applyNumberFormat="1" applyFont="1" applyFill="1" applyBorder="1" applyAlignment="1">
      <alignment vertical="center"/>
    </xf>
    <xf numFmtId="10" fontId="22" fillId="10" borderId="26" xfId="8" applyNumberFormat="1" applyFont="1" applyFill="1" applyBorder="1" applyAlignment="1">
      <alignment vertical="center"/>
    </xf>
    <xf numFmtId="3" fontId="22" fillId="10" borderId="23" xfId="7" applyNumberFormat="1" applyFont="1" applyFill="1" applyBorder="1" applyAlignment="1">
      <alignment vertical="center"/>
    </xf>
    <xf numFmtId="43" fontId="4" fillId="0" borderId="0" xfId="1" applyFont="1" applyAlignment="1">
      <alignment vertical="center"/>
    </xf>
    <xf numFmtId="0" fontId="4" fillId="0" borderId="0" xfId="7" applyAlignment="1">
      <alignment vertical="center"/>
    </xf>
    <xf numFmtId="0" fontId="23" fillId="11" borderId="22" xfId="7" applyFont="1" applyFill="1" applyBorder="1" applyAlignment="1">
      <alignment horizontal="left" vertical="center"/>
    </xf>
    <xf numFmtId="164" fontId="22" fillId="11" borderId="27" xfId="1" applyNumberFormat="1" applyFont="1" applyFill="1" applyBorder="1" applyAlignment="1">
      <alignment vertical="center"/>
    </xf>
    <xf numFmtId="165" fontId="22" fillId="11" borderId="28" xfId="2" applyNumberFormat="1" applyFont="1" applyFill="1" applyBorder="1" applyAlignment="1">
      <alignment vertical="center"/>
    </xf>
    <xf numFmtId="165" fontId="22" fillId="11" borderId="29" xfId="2" applyNumberFormat="1" applyFont="1" applyFill="1" applyBorder="1" applyAlignment="1">
      <alignment vertical="center"/>
    </xf>
    <xf numFmtId="10" fontId="22" fillId="11" borderId="30" xfId="8" applyNumberFormat="1" applyFont="1" applyFill="1" applyBorder="1" applyAlignment="1">
      <alignment vertical="center"/>
    </xf>
    <xf numFmtId="43" fontId="4" fillId="6" borderId="0" xfId="1" applyFont="1" applyFill="1" applyAlignment="1">
      <alignment vertical="center"/>
    </xf>
    <xf numFmtId="3" fontId="22" fillId="11" borderId="27" xfId="7" applyNumberFormat="1" applyFont="1" applyFill="1" applyBorder="1" applyAlignment="1">
      <alignment vertical="center"/>
    </xf>
    <xf numFmtId="9" fontId="4" fillId="6" borderId="0" xfId="2" applyFont="1" applyFill="1" applyAlignment="1">
      <alignment vertical="center"/>
    </xf>
    <xf numFmtId="0" fontId="4" fillId="6" borderId="0" xfId="7" applyFill="1" applyAlignment="1">
      <alignment vertical="center"/>
    </xf>
    <xf numFmtId="10" fontId="22" fillId="11" borderId="31" xfId="8" applyNumberFormat="1" applyFont="1" applyFill="1" applyBorder="1" applyAlignment="1">
      <alignment vertical="center"/>
    </xf>
    <xf numFmtId="0" fontId="22" fillId="10" borderId="32" xfId="7" applyFont="1" applyFill="1" applyBorder="1" applyAlignment="1">
      <alignment horizontal="left" vertical="center"/>
    </xf>
    <xf numFmtId="164" fontId="22" fillId="10" borderId="27" xfId="1" applyNumberFormat="1" applyFont="1" applyFill="1" applyBorder="1" applyAlignment="1">
      <alignment vertical="center"/>
    </xf>
    <xf numFmtId="164" fontId="22" fillId="10" borderId="33" xfId="1" applyNumberFormat="1" applyFont="1" applyFill="1" applyBorder="1" applyAlignment="1">
      <alignment vertical="center"/>
    </xf>
    <xf numFmtId="165" fontId="22" fillId="10" borderId="28" xfId="2" applyNumberFormat="1" applyFont="1" applyFill="1" applyBorder="1" applyAlignment="1">
      <alignment vertical="center"/>
    </xf>
    <xf numFmtId="165" fontId="22" fillId="10" borderId="29" xfId="2" applyNumberFormat="1" applyFont="1" applyFill="1" applyBorder="1" applyAlignment="1">
      <alignment vertical="center"/>
    </xf>
    <xf numFmtId="172" fontId="22" fillId="10" borderId="34" xfId="9" applyFont="1" applyFill="1" applyBorder="1" applyAlignment="1">
      <alignment horizontal="right" vertical="center"/>
    </xf>
    <xf numFmtId="3" fontId="22" fillId="10" borderId="27" xfId="7" applyNumberFormat="1" applyFont="1" applyFill="1" applyBorder="1" applyAlignment="1">
      <alignment vertical="center"/>
    </xf>
    <xf numFmtId="0" fontId="22" fillId="10" borderId="35" xfId="7" applyFont="1" applyFill="1" applyBorder="1" applyAlignment="1">
      <alignment horizontal="left" vertical="center"/>
    </xf>
    <xf numFmtId="10" fontId="22" fillId="10" borderId="34" xfId="8" applyNumberFormat="1" applyFont="1" applyFill="1" applyBorder="1" applyAlignment="1">
      <alignment vertical="center"/>
    </xf>
    <xf numFmtId="10" fontId="0" fillId="0" borderId="0" xfId="8" applyNumberFormat="1" applyFont="1" applyAlignment="1">
      <alignment vertical="center"/>
    </xf>
    <xf numFmtId="3" fontId="4" fillId="0" borderId="0" xfId="7" applyNumberFormat="1" applyAlignment="1">
      <alignment vertical="center"/>
    </xf>
    <xf numFmtId="0" fontId="21" fillId="9" borderId="17" xfId="7" applyFont="1" applyFill="1" applyBorder="1" applyAlignment="1">
      <alignment vertical="center"/>
    </xf>
    <xf numFmtId="164" fontId="21" fillId="9" borderId="18" xfId="1" applyNumberFormat="1" applyFont="1" applyFill="1" applyBorder="1" applyAlignment="1">
      <alignment vertical="center"/>
    </xf>
    <xf numFmtId="165" fontId="21" fillId="9" borderId="19" xfId="2" applyNumberFormat="1" applyFont="1" applyFill="1" applyBorder="1" applyAlignment="1">
      <alignment vertical="center"/>
    </xf>
    <xf numFmtId="165" fontId="21" fillId="9" borderId="20" xfId="2" applyNumberFormat="1" applyFont="1" applyFill="1" applyBorder="1" applyAlignment="1">
      <alignment vertical="center"/>
    </xf>
    <xf numFmtId="10" fontId="21" fillId="9" borderId="21" xfId="8" applyNumberFormat="1" applyFont="1" applyFill="1" applyBorder="1" applyAlignment="1">
      <alignment vertical="center"/>
    </xf>
    <xf numFmtId="3" fontId="21" fillId="9" borderId="18" xfId="7" applyNumberFormat="1" applyFont="1" applyFill="1" applyBorder="1" applyAlignment="1">
      <alignment vertical="center"/>
    </xf>
    <xf numFmtId="0" fontId="20" fillId="12" borderId="36" xfId="7" applyFont="1" applyFill="1" applyBorder="1" applyAlignment="1">
      <alignment vertical="center"/>
    </xf>
    <xf numFmtId="164" fontId="20" fillId="12" borderId="7" xfId="1" applyNumberFormat="1" applyFont="1" applyFill="1" applyBorder="1" applyAlignment="1">
      <alignment vertical="center"/>
    </xf>
    <xf numFmtId="165" fontId="20" fillId="12" borderId="37" xfId="2" applyNumberFormat="1" applyFont="1" applyFill="1" applyBorder="1" applyAlignment="1">
      <alignment vertical="center"/>
    </xf>
    <xf numFmtId="165" fontId="20" fillId="12" borderId="6" xfId="2" applyNumberFormat="1" applyFont="1" applyFill="1" applyBorder="1" applyAlignment="1">
      <alignment vertical="center"/>
    </xf>
    <xf numFmtId="10" fontId="20" fillId="12" borderId="38" xfId="8" applyNumberFormat="1" applyFont="1" applyFill="1" applyBorder="1" applyAlignment="1">
      <alignment vertical="center"/>
    </xf>
    <xf numFmtId="3" fontId="20" fillId="12" borderId="7" xfId="7" applyNumberFormat="1" applyFont="1" applyFill="1" applyBorder="1" applyAlignment="1">
      <alignment vertical="center"/>
    </xf>
    <xf numFmtId="0" fontId="24" fillId="13" borderId="39" xfId="7" applyFont="1" applyFill="1" applyBorder="1" applyAlignment="1">
      <alignment horizontal="left" vertical="center"/>
    </xf>
    <xf numFmtId="164" fontId="6" fillId="13" borderId="23" xfId="1" applyNumberFormat="1" applyFont="1" applyFill="1" applyBorder="1" applyAlignment="1">
      <alignment vertical="center"/>
    </xf>
    <xf numFmtId="165" fontId="6" fillId="13" borderId="24" xfId="2" applyNumberFormat="1" applyFont="1" applyFill="1" applyBorder="1" applyAlignment="1">
      <alignment vertical="center"/>
    </xf>
    <xf numFmtId="165" fontId="6" fillId="13" borderId="25" xfId="2" applyNumberFormat="1" applyFont="1" applyFill="1" applyBorder="1" applyAlignment="1">
      <alignment vertical="center"/>
    </xf>
    <xf numFmtId="10" fontId="6" fillId="13" borderId="40" xfId="8" applyNumberFormat="1" applyFont="1" applyFill="1" applyBorder="1" applyAlignment="1">
      <alignment vertical="center"/>
    </xf>
    <xf numFmtId="3" fontId="6" fillId="13" borderId="23" xfId="7" applyNumberFormat="1" applyFont="1" applyFill="1" applyBorder="1" applyAlignment="1">
      <alignment vertical="center"/>
    </xf>
    <xf numFmtId="0" fontId="23" fillId="0" borderId="32" xfId="7" applyFont="1" applyBorder="1" applyAlignment="1">
      <alignment horizontal="left" vertical="center"/>
    </xf>
    <xf numFmtId="164" fontId="23" fillId="0" borderId="33" xfId="1" applyNumberFormat="1" applyFont="1" applyBorder="1" applyAlignment="1">
      <alignment vertical="center"/>
    </xf>
    <xf numFmtId="165" fontId="23" fillId="0" borderId="30" xfId="2" applyNumberFormat="1" applyFont="1" applyBorder="1" applyAlignment="1">
      <alignment vertical="center"/>
    </xf>
    <xf numFmtId="165" fontId="23" fillId="0" borderId="41" xfId="2" applyNumberFormat="1" applyFont="1" applyBorder="1" applyAlignment="1">
      <alignment vertical="center"/>
    </xf>
    <xf numFmtId="10" fontId="23" fillId="0" borderId="34" xfId="8" applyNumberFormat="1" applyFont="1" applyBorder="1" applyAlignment="1">
      <alignment vertical="center"/>
    </xf>
    <xf numFmtId="3" fontId="23" fillId="0" borderId="33" xfId="7" applyNumberFormat="1" applyFont="1" applyBorder="1" applyAlignment="1">
      <alignment vertical="center"/>
    </xf>
    <xf numFmtId="0" fontId="20" fillId="12" borderId="42" xfId="7" applyFont="1" applyFill="1" applyBorder="1" applyAlignment="1">
      <alignment vertical="center"/>
    </xf>
    <xf numFmtId="164" fontId="20" fillId="12" borderId="43" xfId="1" applyNumberFormat="1" applyFont="1" applyFill="1" applyBorder="1" applyAlignment="1">
      <alignment vertical="center"/>
    </xf>
    <xf numFmtId="165" fontId="20" fillId="12" borderId="44" xfId="2" applyNumberFormat="1" applyFont="1" applyFill="1" applyBorder="1" applyAlignment="1">
      <alignment vertical="center"/>
    </xf>
    <xf numFmtId="165" fontId="20" fillId="12" borderId="45" xfId="2" applyNumberFormat="1" applyFont="1" applyFill="1" applyBorder="1" applyAlignment="1">
      <alignment vertical="center"/>
    </xf>
    <xf numFmtId="10" fontId="20" fillId="12" borderId="46" xfId="8" applyNumberFormat="1" applyFont="1" applyFill="1" applyBorder="1" applyAlignment="1">
      <alignment vertical="center"/>
    </xf>
    <xf numFmtId="3" fontId="20" fillId="12" borderId="43" xfId="7" applyNumberFormat="1" applyFont="1" applyFill="1" applyBorder="1" applyAlignment="1">
      <alignment vertical="center"/>
    </xf>
    <xf numFmtId="0" fontId="22" fillId="0" borderId="22" xfId="7" applyFont="1" applyBorder="1" applyAlignment="1">
      <alignment horizontal="left" vertical="center"/>
    </xf>
    <xf numFmtId="164" fontId="22" fillId="0" borderId="27" xfId="1" applyNumberFormat="1" applyFont="1" applyBorder="1" applyAlignment="1">
      <alignment vertical="center"/>
    </xf>
    <xf numFmtId="10" fontId="25" fillId="0" borderId="47" xfId="8" applyNumberFormat="1" applyFont="1" applyBorder="1" applyAlignment="1">
      <alignment vertical="center"/>
    </xf>
    <xf numFmtId="3" fontId="22" fillId="0" borderId="27" xfId="7" applyNumberFormat="1" applyFont="1" applyBorder="1" applyAlignment="1">
      <alignment vertical="center"/>
    </xf>
    <xf numFmtId="10" fontId="22" fillId="0" borderId="31" xfId="8" applyNumberFormat="1" applyFont="1" applyBorder="1" applyAlignment="1">
      <alignment vertical="center"/>
    </xf>
    <xf numFmtId="172" fontId="25" fillId="0" borderId="48" xfId="9" applyFont="1" applyBorder="1" applyAlignment="1">
      <alignment vertical="center"/>
    </xf>
    <xf numFmtId="172" fontId="25" fillId="0" borderId="30" xfId="9" applyFont="1" applyBorder="1" applyAlignment="1">
      <alignment vertical="center"/>
    </xf>
    <xf numFmtId="0" fontId="22" fillId="0" borderId="31" xfId="8" applyNumberFormat="1" applyFont="1" applyBorder="1" applyAlignment="1">
      <alignment vertical="center"/>
    </xf>
    <xf numFmtId="0" fontId="25" fillId="0" borderId="32" xfId="7" applyFont="1" applyBorder="1" applyAlignment="1">
      <alignment horizontal="left" vertical="center"/>
    </xf>
    <xf numFmtId="164" fontId="25" fillId="0" borderId="33" xfId="1" applyNumberFormat="1" applyFont="1" applyBorder="1" applyAlignment="1">
      <alignment vertical="center"/>
    </xf>
    <xf numFmtId="10" fontId="25" fillId="0" borderId="34" xfId="8" applyNumberFormat="1" applyFont="1" applyBorder="1" applyAlignment="1">
      <alignment vertical="center"/>
    </xf>
    <xf numFmtId="3" fontId="25" fillId="0" borderId="33" xfId="7" applyNumberFormat="1" applyFont="1" applyBorder="1" applyAlignment="1">
      <alignment vertical="center"/>
    </xf>
    <xf numFmtId="164" fontId="25" fillId="0" borderId="49" xfId="1" applyNumberFormat="1" applyFont="1" applyBorder="1" applyAlignment="1">
      <alignment vertical="center"/>
    </xf>
    <xf numFmtId="164" fontId="25" fillId="0" borderId="49" xfId="1" applyNumberFormat="1" applyFont="1" applyFill="1" applyBorder="1" applyAlignment="1">
      <alignment vertical="center"/>
    </xf>
    <xf numFmtId="10" fontId="25" fillId="0" borderId="48" xfId="8" applyNumberFormat="1" applyFont="1" applyBorder="1" applyAlignment="1">
      <alignment vertical="center"/>
    </xf>
    <xf numFmtId="0" fontId="20" fillId="0" borderId="50" xfId="10" applyFont="1" applyFill="1" applyBorder="1" applyAlignment="1">
      <alignment horizontal="left" vertical="center"/>
    </xf>
    <xf numFmtId="164" fontId="6" fillId="0" borderId="0" xfId="1" applyNumberFormat="1" applyFont="1" applyBorder="1" applyAlignment="1">
      <alignment vertical="center"/>
    </xf>
    <xf numFmtId="165" fontId="6" fillId="0" borderId="40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10" fontId="6" fillId="0" borderId="40" xfId="8" applyNumberFormat="1" applyFont="1" applyBorder="1" applyAlignment="1">
      <alignment vertical="center"/>
    </xf>
    <xf numFmtId="0" fontId="6" fillId="0" borderId="0" xfId="10" applyFont="1" applyBorder="1" applyAlignment="1">
      <alignment vertical="center"/>
    </xf>
    <xf numFmtId="0" fontId="20" fillId="0" borderId="50" xfId="7" applyFont="1" applyFill="1" applyBorder="1" applyAlignment="1">
      <alignment horizontal="left" vertical="center"/>
    </xf>
    <xf numFmtId="0" fontId="6" fillId="0" borderId="0" xfId="7" applyFont="1" applyBorder="1" applyAlignment="1">
      <alignment vertical="center"/>
    </xf>
    <xf numFmtId="0" fontId="20" fillId="12" borderId="50" xfId="7" applyFont="1" applyFill="1" applyBorder="1" applyAlignment="1">
      <alignment vertical="center"/>
    </xf>
    <xf numFmtId="164" fontId="20" fillId="12" borderId="0" xfId="1" applyNumberFormat="1" applyFont="1" applyFill="1" applyBorder="1" applyAlignment="1">
      <alignment vertical="center"/>
    </xf>
    <xf numFmtId="165" fontId="20" fillId="12" borderId="40" xfId="2" applyNumberFormat="1" applyFont="1" applyFill="1" applyBorder="1" applyAlignment="1">
      <alignment vertical="center"/>
    </xf>
    <xf numFmtId="165" fontId="20" fillId="12" borderId="0" xfId="2" applyNumberFormat="1" applyFont="1" applyFill="1" applyBorder="1" applyAlignment="1">
      <alignment vertical="center"/>
    </xf>
    <xf numFmtId="10" fontId="20" fillId="12" borderId="40" xfId="8" applyNumberFormat="1" applyFont="1" applyFill="1" applyBorder="1" applyAlignment="1">
      <alignment vertical="center"/>
    </xf>
    <xf numFmtId="3" fontId="20" fillId="12" borderId="0" xfId="7" applyNumberFormat="1" applyFont="1" applyFill="1" applyBorder="1" applyAlignment="1">
      <alignment vertical="center"/>
    </xf>
    <xf numFmtId="0" fontId="20" fillId="14" borderId="50" xfId="7" applyFont="1" applyFill="1" applyBorder="1" applyAlignment="1">
      <alignment vertical="center"/>
    </xf>
    <xf numFmtId="164" fontId="20" fillId="14" borderId="0" xfId="1" applyNumberFormat="1" applyFont="1" applyFill="1" applyBorder="1" applyAlignment="1">
      <alignment vertical="center"/>
    </xf>
    <xf numFmtId="165" fontId="20" fillId="14" borderId="40" xfId="2" applyNumberFormat="1" applyFont="1" applyFill="1" applyBorder="1" applyAlignment="1">
      <alignment vertical="center"/>
    </xf>
    <xf numFmtId="165" fontId="20" fillId="14" borderId="0" xfId="2" applyNumberFormat="1" applyFont="1" applyFill="1" applyBorder="1" applyAlignment="1">
      <alignment vertical="center"/>
    </xf>
    <xf numFmtId="10" fontId="20" fillId="14" borderId="40" xfId="8" applyNumberFormat="1" applyFont="1" applyFill="1" applyBorder="1" applyAlignment="1">
      <alignment vertical="center"/>
    </xf>
    <xf numFmtId="3" fontId="20" fillId="14" borderId="0" xfId="7" applyNumberFormat="1" applyFont="1" applyFill="1" applyBorder="1" applyAlignment="1">
      <alignment vertical="center"/>
    </xf>
    <xf numFmtId="0" fontId="20" fillId="12" borderId="51" xfId="7" applyFont="1" applyFill="1" applyBorder="1" applyAlignment="1">
      <alignment vertical="center" wrapText="1"/>
    </xf>
    <xf numFmtId="164" fontId="20" fillId="12" borderId="52" xfId="1" applyNumberFormat="1" applyFont="1" applyFill="1" applyBorder="1" applyAlignment="1">
      <alignment vertical="center"/>
    </xf>
    <xf numFmtId="165" fontId="20" fillId="12" borderId="53" xfId="2" applyNumberFormat="1" applyFont="1" applyFill="1" applyBorder="1" applyAlignment="1">
      <alignment vertical="center"/>
    </xf>
    <xf numFmtId="165" fontId="20" fillId="12" borderId="52" xfId="2" applyNumberFormat="1" applyFont="1" applyFill="1" applyBorder="1" applyAlignment="1">
      <alignment vertical="center"/>
    </xf>
    <xf numFmtId="10" fontId="20" fillId="12" borderId="53" xfId="8" applyNumberFormat="1" applyFont="1" applyFill="1" applyBorder="1" applyAlignment="1">
      <alignment vertical="center"/>
    </xf>
    <xf numFmtId="3" fontId="20" fillId="12" borderId="52" xfId="7" applyNumberFormat="1" applyFont="1" applyFill="1" applyBorder="1" applyAlignment="1">
      <alignment vertical="center"/>
    </xf>
    <xf numFmtId="0" fontId="4" fillId="0" borderId="51" xfId="7" applyFont="1" applyBorder="1"/>
    <xf numFmtId="164" fontId="4" fillId="0" borderId="52" xfId="1" applyNumberFormat="1" applyFont="1" applyBorder="1"/>
    <xf numFmtId="164" fontId="4" fillId="0" borderId="53" xfId="1" applyNumberFormat="1" applyFont="1" applyBorder="1"/>
    <xf numFmtId="164" fontId="4" fillId="0" borderId="0" xfId="1" applyNumberFormat="1" applyFont="1"/>
    <xf numFmtId="10" fontId="0" fillId="0" borderId="0" xfId="8" applyNumberFormat="1" applyFont="1"/>
    <xf numFmtId="164" fontId="7" fillId="0" borderId="4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165" fontId="7" fillId="0" borderId="5" xfId="2" applyNumberFormat="1" applyFont="1" applyBorder="1" applyAlignment="1">
      <alignment horizontal="center" vertical="center" wrapText="1"/>
    </xf>
    <xf numFmtId="165" fontId="7" fillId="0" borderId="8" xfId="2" applyNumberFormat="1" applyFont="1" applyBorder="1" applyAlignment="1">
      <alignment horizontal="center" vertical="center" wrapText="1"/>
    </xf>
    <xf numFmtId="168" fontId="6" fillId="0" borderId="3" xfId="3" applyNumberFormat="1" applyFont="1" applyBorder="1" applyAlignment="1">
      <alignment horizontal="center" vertical="center" wrapText="1"/>
    </xf>
    <xf numFmtId="168" fontId="6" fillId="0" borderId="6" xfId="3" applyNumberFormat="1" applyFont="1" applyBorder="1" applyAlignment="1">
      <alignment horizontal="center" vertical="center" wrapText="1"/>
    </xf>
    <xf numFmtId="0" fontId="6" fillId="0" borderId="3" xfId="3" applyNumberFormat="1" applyFont="1" applyBorder="1" applyAlignment="1">
      <alignment horizontal="center" vertical="center" wrapText="1"/>
    </xf>
    <xf numFmtId="0" fontId="6" fillId="0" borderId="6" xfId="3" applyNumberFormat="1" applyFont="1" applyBorder="1" applyAlignment="1">
      <alignment horizontal="center" vertical="center" wrapText="1"/>
    </xf>
  </cellXfs>
  <cellStyles count="11">
    <cellStyle name="Comma" xfId="1" builtinId="3"/>
    <cellStyle name="Comma 2" xfId="3"/>
    <cellStyle name="Comma 2 2" xfId="9"/>
    <cellStyle name="Normal" xfId="0" builtinId="0"/>
    <cellStyle name="Normal 2" xfId="4"/>
    <cellStyle name="Normal 2 2 2" xfId="7"/>
    <cellStyle name="Normal 2 3" xfId="6"/>
    <cellStyle name="Normal 3" xfId="5"/>
    <cellStyle name="Normal 4" xfId="10"/>
    <cellStyle name="Percent" xfId="2" builtinId="5"/>
    <cellStyle name="Percent 2" xfId="8"/>
  </cellStyles>
  <dxfs count="6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PB%20Jean_Gilles/Desktop/document_Annexes_Emarge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GB_PROGRAMMATION_MACHINE/1-DOSSIER_DEPB/budgets/budget_16-17/1-budget_initial_16-17_publi&#233;/doc_annexes/DOC_ANNEXE_16-17/documents_Annexe_040716/Documents_AnnexeS_16-17_version_finale_040716_adopt&#23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pb_roody/Desktop/Feuille%20de%20travail_JRM_DEPB/Rapport%20Solde%20et%20TOFE%20DEPB_JRM_2_Act/Rapports%20%20Solde%20&amp;%20Tofe%20DEPB_Ex.15-16/1-cr&#233;dits_section_alin&#233;as_14-15_adopt&#233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/AppData/Roaming/Microsoft/Excel/Documents%20Annexes%20_FINAL_Source%20Emargement%20D&#233;cembre%202013_Salaire%20Ajustement%2026%20Janvi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ES/AppData/Local/Microsoft/Windows/Temporary%20Internet%20Files/Content.IE5/7O06SZY9/doc_annexes/documents%20annexes%20au%20budget%20MKM_2909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PB_Albert/Documents/DEPB_DGB/Rapport%20Solde%20et%20TOFE%20DEPB_JRM_2_Act/Rapports%20%20Solde%20&amp;%20Tofe%20DEPB_APL_Rectificatif_Ex.17-18_Ok/SoldeCr&#233;ditsSectionArticles_17-18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b_depb/Downloads/SUIVI%20EXECUTION%20PIP_rectificatif_2017-2018_publi&#233;_RECONDUIT%20en%202018-2019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b_depb/Downloads/Suivi%20de%20tr&#233;sorerie%20au%2024%20janv.%202019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b_depb/Documents/rapport_d'execution_budg&#233;taire/execution_budget_18-19/execution_budgetaire-cr&#233;dits_section_alin&#233;as_18-19_version_octob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redits_ajustement_de_salaire_18-19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GB_PROGRAMMATION_MACHINE/1-DOSSIER_DEPB/budgets/budget_17-18/cr&#233;dits_vote_Parlement_17-18%20-%20Pour%20publication/1-cr&#233;dits_section_alin&#233;as_17-18INSTSO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REPARACION"/>
      <sheetName val="ALTERNATIVAS"/>
      <sheetName val="EVALUACIÓN PRIVADA"/>
      <sheetName val="EVALUACIÓN SOCIOECONÓMICA"/>
      <sheetName val="INDICADORES"/>
      <sheetName val="FINANCIACIÓN"/>
      <sheetName val="ANÁLISIS DE SENSIBILIDAD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Alinea considerer dans la Pro"/>
      <sheetName val="credit_section_alinea"/>
      <sheetName val="mensuel_section_article"/>
      <sheetName val="résumé prog"/>
      <sheetName val="IP_MENSUEL"/>
      <sheetName val="résumé prog (2)"/>
      <sheetName val="TOFE (mensuel)"/>
      <sheetName val="nomenclature"/>
      <sheetName val="Sheet5"/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  <sheetName val="octobre08ajuin09"/>
      <sheetName val="paiementdirect octobre08ajuin09"/>
      <sheetName val="lettrebrh octobre08ajuin09"/>
      <sheetName val="resumesolde octobre08ajuin09"/>
      <sheetName val="résumé prog juil @ sept 09"/>
      <sheetName val="Base de Datos Proye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>
        <row r="12">
          <cell r="B12" t="str">
            <v>11-SECTEUR ECONOMIQUE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ArticleCredits1415_Aout"/>
      <sheetName val="sectionArticleCredits1415JUIL."/>
      <sheetName val="Sec_Article_au 21072015"/>
      <sheetName val="sectionArticleCredits1415juin"/>
      <sheetName val="SectionArticleCredits1415Dep a "/>
      <sheetName val="SectionArticleAu03062015"/>
      <sheetName val="SEctionArticleActualisée"/>
      <sheetName val="sectionArticleCredits1415DepOct"/>
      <sheetName val="Novembre1516"/>
      <sheetName val="Octobre1516"/>
      <sheetName val="Décembre1516"/>
      <sheetName val="TRIM_I_1516"/>
      <sheetName val="Janvier1516"/>
      <sheetName val="février1516-2"/>
      <sheetName val="SectionArticle_Oct17Sept18"/>
      <sheetName val="Titre"/>
      <sheetName val="PASSAGE"/>
      <sheetName val="Octobre 17"/>
      <sheetName val="paiementdirect octobre17"/>
      <sheetName val="lettrebrh octobre17"/>
      <sheetName val="resumesolde octobre17"/>
      <sheetName val="résumé octobre17"/>
      <sheetName val="Novembre 17"/>
      <sheetName val="paiementdirect Novembre17"/>
      <sheetName val="lettrebrh novembre17"/>
      <sheetName val="resumesolde Novembre17"/>
      <sheetName val="résumé Novembre17"/>
      <sheetName val="Oct.&amp;Nov.17"/>
      <sheetName val="paiementdirect Oct.&amp;Nov.17"/>
      <sheetName val="lettrebrh Oct.&amp;Nov.17"/>
      <sheetName val="resumesolde Oct.&amp;Nov.17"/>
      <sheetName val="résumé Oct.&amp;Nov.17"/>
      <sheetName val="Décembre17"/>
      <sheetName val="paiementdirect Décembre17"/>
      <sheetName val="lettrebrh Décembre17"/>
      <sheetName val="resumesolde Décembre17"/>
      <sheetName val="résumé Décembre17"/>
      <sheetName val="Oct.&amp;Déc.17"/>
      <sheetName val="paiementdirect Oct.&amp;Déc.17"/>
      <sheetName val="lettrebrh Oct.&amp;Déc.17"/>
      <sheetName val="resumesolde Oct.&amp;Déc.17"/>
      <sheetName val="résumé Oct.&amp;Déc.17"/>
      <sheetName val="Janvier18"/>
      <sheetName val="paiementdirect Janvier18"/>
      <sheetName val="lettrebrh Janvier18"/>
      <sheetName val="resumesolde Janvier18"/>
      <sheetName val="résumé Janvier18"/>
      <sheetName val="Oct.&amp;Jan.18"/>
      <sheetName val="paiementdirect Oct.&amp;Jan.18"/>
      <sheetName val="lettrebrh Oct.&amp;Jan.18"/>
      <sheetName val="resumesolde Oct.&amp;Jan.18"/>
      <sheetName val="résumé Oct.&amp;Jan.18"/>
      <sheetName val="Février18"/>
      <sheetName val="paiementdirect Février18"/>
      <sheetName val="lettrebrh Février18"/>
      <sheetName val="resumesolde Février18"/>
      <sheetName val="résumé Février18"/>
      <sheetName val="Oct.&amp;Fév.18"/>
      <sheetName val="paiementdirect Oct.&amp;Fév.18"/>
      <sheetName val="lettrebrh Oct.&amp;Fév.18"/>
      <sheetName val="resumesolde Oct.&amp;Fév.18"/>
      <sheetName val="résumé Oct.&amp;Fév.18"/>
      <sheetName val="Mars18"/>
      <sheetName val="paiementdirect Mars18"/>
      <sheetName val="lettrebrh Mars18"/>
      <sheetName val="resumesolde Mars18"/>
      <sheetName val="résumé Mars18"/>
      <sheetName val="Oct.&amp;Mars18"/>
      <sheetName val="paiementdirect Oct.&amp;Mars18"/>
      <sheetName val="lettrebrh Oct.&amp;Mars18"/>
      <sheetName val="resumesolde Oct.&amp;Mars18"/>
      <sheetName val="résumé Oct.&amp;Mars18"/>
      <sheetName val="Avril18"/>
      <sheetName val="paiementdirect Avril18"/>
      <sheetName val="lettrebrh Avril18"/>
      <sheetName val="resumesolde Avril18"/>
      <sheetName val="résumé Avril18"/>
      <sheetName val="Oct.&amp;Avril18"/>
      <sheetName val="paiementdirect Oct.&amp;Avril18"/>
      <sheetName val="lettrebrh Oct.&amp;Avril18"/>
      <sheetName val="resumesolde Oct.&amp;Avril18"/>
      <sheetName val="résumé Oct.&amp;Avril18"/>
      <sheetName val="Mai18"/>
      <sheetName val="paiementdirect Mai18"/>
      <sheetName val="lettrebrh Mai18"/>
      <sheetName val="resumesolde Mai18"/>
      <sheetName val="résumé Mai18"/>
      <sheetName val="Oct.&amp;Mai18"/>
      <sheetName val="paiementdirect Oct.&amp;Mai18"/>
      <sheetName val="lettrebrh Oct.&amp;Mai18"/>
      <sheetName val="resumesolde Oct.&amp;Mai18"/>
      <sheetName val="résumé Oct.&amp;Mai18"/>
      <sheetName val="Juin18"/>
      <sheetName val="paiementdirect Juin18"/>
      <sheetName val="lettrebrh Juin18"/>
      <sheetName val="resumesolde Juin18"/>
      <sheetName val="résumé Juin18"/>
      <sheetName val="Oct.&amp;Juin18"/>
      <sheetName val="paiementdirect Oct.&amp;Juin18"/>
      <sheetName val="lettrebrh Oct.&amp;Juin18"/>
      <sheetName val="resumesolde Oct.&amp;Juin18"/>
      <sheetName val="résumé Oct.&amp;Juin18"/>
      <sheetName val="Juillet18"/>
      <sheetName val="paiementdirect Juillet18"/>
      <sheetName val="lettrebrh Juillet18"/>
      <sheetName val="resumesolde Juillet18"/>
      <sheetName val="résumé Juillet18"/>
      <sheetName val="Oct.&amp;Juillet18"/>
      <sheetName val="paiementdirect Oct.&amp;Juillet18"/>
      <sheetName val="lettrebrh Oct.&amp;Juillet18"/>
      <sheetName val="resumesolde Oct.&amp;Juillet18"/>
      <sheetName val="résumé Oct.&amp;Juillet18"/>
      <sheetName val="Aout18"/>
      <sheetName val="paiementdirect Aout18"/>
      <sheetName val="lettrebrh Aout18"/>
      <sheetName val="resumesolde Aout18"/>
      <sheetName val="résumé Aout18"/>
      <sheetName val="Oct.&amp;Aout18"/>
      <sheetName val="paiementdirect Oct.&amp;Aout18"/>
      <sheetName val="lettrebrh Oct.&amp;Aout18"/>
      <sheetName val="resumesolde Oct.&amp;Aout18"/>
      <sheetName val="résumé Oct.&amp;Aout18"/>
      <sheetName val="Sept.18"/>
      <sheetName val="paiementdirect Sept.18"/>
      <sheetName val="lettrebrh Sept.18"/>
      <sheetName val="resumesolde Sept.18"/>
      <sheetName val="résumé Sept.18"/>
      <sheetName val="Oct.&amp;Sept.18"/>
      <sheetName val="paiementdirect Oct.&amp;Sept.18"/>
      <sheetName val="lettrebrh Oct.&amp;Sept.18"/>
      <sheetName val="resumesolde Oct.&amp;Sept.18"/>
      <sheetName val="résumé Oct.&amp;Sept.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2">
          <cell r="C12">
            <v>7236702852.539999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&amp;PROJETS_RECT_17-18_PT_VOT"/>
    </sheetNames>
    <sheetDataSet>
      <sheetData sheetId="0">
        <row r="6">
          <cell r="AC6">
            <v>664934844.77999997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.trés.au 24 janv. 19"/>
    </sheetNames>
    <sheetDataSet>
      <sheetData sheetId="0">
        <row r="44">
          <cell r="AZ44">
            <v>445.67200000000003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vision_dette_publique"/>
      <sheetName val="IP-MENSUEL"/>
      <sheetName val="mensuel_section_alinea"/>
      <sheetName val="mensuel_section_article1"/>
      <sheetName val="section_article"/>
      <sheetName val="execution_au_30-09-19"/>
      <sheetName val="crédits_sollicités_comparaison"/>
      <sheetName val="mensuel_credit_section_titre"/>
      <sheetName val="section_titre"/>
      <sheetName val="credit_section_titre (inv)"/>
      <sheetName val="credit_section_titre _rapport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/>
      <sheetData sheetId="1"/>
      <sheetData sheetId="2"/>
      <sheetData sheetId="3">
        <row r="3">
          <cell r="C3">
            <v>0</v>
          </cell>
          <cell r="E3">
            <v>72759999999.609344</v>
          </cell>
          <cell r="G3">
            <v>85202800000.441284</v>
          </cell>
        </row>
        <row r="4">
          <cell r="B4" t="str">
            <v>POUVOIR</v>
          </cell>
          <cell r="C4">
            <v>1</v>
          </cell>
          <cell r="E4">
            <v>66259783990.876953</v>
          </cell>
          <cell r="G4">
            <v>75924871227.838837</v>
          </cell>
        </row>
        <row r="5">
          <cell r="B5" t="str">
            <v>SECTEUR</v>
          </cell>
          <cell r="C5">
            <v>11</v>
          </cell>
          <cell r="E5">
            <v>9130380697.7778568</v>
          </cell>
          <cell r="G5">
            <v>10309080652.903856</v>
          </cell>
        </row>
        <row r="6">
          <cell r="B6" t="str">
            <v>MIN</v>
          </cell>
          <cell r="C6" t="str">
            <v>1111</v>
          </cell>
          <cell r="E6">
            <v>1022542528.688735</v>
          </cell>
          <cell r="G6">
            <v>1084314103.688735</v>
          </cell>
        </row>
        <row r="7">
          <cell r="B7" t="str">
            <v>chap</v>
          </cell>
          <cell r="C7">
            <v>11111</v>
          </cell>
          <cell r="E7">
            <v>1022542528.688735</v>
          </cell>
          <cell r="G7">
            <v>1084314103.688735</v>
          </cell>
        </row>
        <row r="8">
          <cell r="B8" t="str">
            <v>SECTION</v>
          </cell>
          <cell r="C8">
            <v>1111111</v>
          </cell>
          <cell r="E8">
            <v>93589269.349999994</v>
          </cell>
          <cell r="G8">
            <v>103990638.35000001</v>
          </cell>
        </row>
        <row r="9">
          <cell r="B9">
            <v>1111111</v>
          </cell>
          <cell r="C9">
            <v>1</v>
          </cell>
          <cell r="E9">
            <v>37889969.399999999</v>
          </cell>
          <cell r="G9">
            <v>25038402.400000002</v>
          </cell>
        </row>
        <row r="10">
          <cell r="B10">
            <v>1111111</v>
          </cell>
          <cell r="C10">
            <v>2</v>
          </cell>
          <cell r="E10">
            <v>10500000.040000001</v>
          </cell>
          <cell r="G10">
            <v>27387867.040000003</v>
          </cell>
        </row>
        <row r="11">
          <cell r="B11">
            <v>1111111</v>
          </cell>
          <cell r="C11">
            <v>3</v>
          </cell>
          <cell r="E11">
            <v>7000000.0800000001</v>
          </cell>
          <cell r="G11">
            <v>8780073.0800000001</v>
          </cell>
        </row>
        <row r="12">
          <cell r="B12">
            <v>1111111</v>
          </cell>
          <cell r="C12">
            <v>4</v>
          </cell>
          <cell r="E12">
            <v>2499999.96</v>
          </cell>
          <cell r="G12">
            <v>2499999.96</v>
          </cell>
        </row>
        <row r="13">
          <cell r="B13">
            <v>1111111</v>
          </cell>
          <cell r="C13">
            <v>5</v>
          </cell>
          <cell r="E13">
            <v>0</v>
          </cell>
          <cell r="G13">
            <v>0</v>
          </cell>
        </row>
        <row r="14">
          <cell r="B14">
            <v>1111111</v>
          </cell>
          <cell r="C14">
            <v>7</v>
          </cell>
          <cell r="E14">
            <v>1099299.8799999999</v>
          </cell>
          <cell r="G14">
            <v>1099299.8799999999</v>
          </cell>
        </row>
        <row r="15">
          <cell r="B15">
            <v>1111111</v>
          </cell>
          <cell r="C15">
            <v>9</v>
          </cell>
          <cell r="E15">
            <v>34599999.990000002</v>
          </cell>
          <cell r="G15">
            <v>39184995.990000002</v>
          </cell>
        </row>
        <row r="16">
          <cell r="B16" t="str">
            <v>SECTION</v>
          </cell>
          <cell r="C16">
            <v>1111112</v>
          </cell>
          <cell r="E16">
            <v>781523579.07873499</v>
          </cell>
          <cell r="G16">
            <v>803122187.07873499</v>
          </cell>
        </row>
        <row r="17">
          <cell r="B17">
            <v>1111112</v>
          </cell>
          <cell r="C17">
            <v>1</v>
          </cell>
          <cell r="E17">
            <v>309210031.24000001</v>
          </cell>
          <cell r="G17">
            <v>362061678.23999995</v>
          </cell>
        </row>
        <row r="18">
          <cell r="B18">
            <v>1111112</v>
          </cell>
          <cell r="C18">
            <v>2</v>
          </cell>
          <cell r="E18">
            <v>69999999.579999998</v>
          </cell>
          <cell r="G18">
            <v>65483963.579999998</v>
          </cell>
        </row>
        <row r="19">
          <cell r="B19">
            <v>1111112</v>
          </cell>
          <cell r="C19">
            <v>3</v>
          </cell>
          <cell r="E19">
            <v>52000000.449999996</v>
          </cell>
          <cell r="G19">
            <v>53263029.449999996</v>
          </cell>
        </row>
        <row r="20">
          <cell r="B20">
            <v>1111112</v>
          </cell>
          <cell r="C20">
            <v>4</v>
          </cell>
          <cell r="E20">
            <v>16313547.646203851</v>
          </cell>
          <cell r="G20">
            <v>8113523.6462038513</v>
          </cell>
        </row>
        <row r="21">
          <cell r="B21">
            <v>1111112</v>
          </cell>
          <cell r="C21">
            <v>5</v>
          </cell>
          <cell r="E21">
            <v>0</v>
          </cell>
          <cell r="G21">
            <v>200000</v>
          </cell>
        </row>
        <row r="22">
          <cell r="B22">
            <v>1111112</v>
          </cell>
          <cell r="C22">
            <v>7</v>
          </cell>
          <cell r="E22">
            <v>188000000.16253117</v>
          </cell>
          <cell r="G22">
            <v>167999992.16253117</v>
          </cell>
        </row>
        <row r="23">
          <cell r="B23">
            <v>1111112</v>
          </cell>
          <cell r="C23">
            <v>9</v>
          </cell>
          <cell r="E23">
            <v>146000000</v>
          </cell>
          <cell r="G23">
            <v>146000000</v>
          </cell>
        </row>
        <row r="24">
          <cell r="B24" t="str">
            <v>SECTION</v>
          </cell>
          <cell r="C24">
            <v>1111113</v>
          </cell>
          <cell r="E24">
            <v>67094462.68</v>
          </cell>
          <cell r="G24">
            <v>71433444.680000007</v>
          </cell>
        </row>
        <row r="25">
          <cell r="B25">
            <v>1111113</v>
          </cell>
          <cell r="C25">
            <v>1</v>
          </cell>
          <cell r="E25">
            <v>40065572.719999999</v>
          </cell>
          <cell r="G25">
            <v>40065572.719999999</v>
          </cell>
        </row>
        <row r="26">
          <cell r="B26">
            <v>1111113</v>
          </cell>
          <cell r="C26">
            <v>2</v>
          </cell>
          <cell r="E26">
            <v>27028889.960000001</v>
          </cell>
          <cell r="G26">
            <v>31367871.960000001</v>
          </cell>
        </row>
        <row r="27">
          <cell r="B27">
            <v>1111113</v>
          </cell>
          <cell r="C27">
            <v>3</v>
          </cell>
          <cell r="E27">
            <v>0</v>
          </cell>
          <cell r="G27">
            <v>0</v>
          </cell>
        </row>
        <row r="28">
          <cell r="B28">
            <v>1111113</v>
          </cell>
          <cell r="C28">
            <v>4</v>
          </cell>
          <cell r="E28">
            <v>0</v>
          </cell>
          <cell r="G28">
            <v>0</v>
          </cell>
        </row>
        <row r="29">
          <cell r="B29">
            <v>1111113</v>
          </cell>
          <cell r="C29">
            <v>5</v>
          </cell>
          <cell r="E29">
            <v>0</v>
          </cell>
          <cell r="G29">
            <v>0</v>
          </cell>
        </row>
        <row r="30">
          <cell r="B30">
            <v>1111113</v>
          </cell>
          <cell r="C30">
            <v>7</v>
          </cell>
          <cell r="E30">
            <v>0</v>
          </cell>
          <cell r="G30">
            <v>0</v>
          </cell>
        </row>
        <row r="31">
          <cell r="B31">
            <v>1111113</v>
          </cell>
          <cell r="C31">
            <v>9</v>
          </cell>
          <cell r="E31">
            <v>0</v>
          </cell>
          <cell r="G31">
            <v>0</v>
          </cell>
        </row>
        <row r="32">
          <cell r="B32" t="str">
            <v>SECTION</v>
          </cell>
          <cell r="C32">
            <v>1111114</v>
          </cell>
          <cell r="E32">
            <v>22080506.469999999</v>
          </cell>
          <cell r="G32">
            <v>30821789.469999999</v>
          </cell>
        </row>
        <row r="33">
          <cell r="B33">
            <v>1111114</v>
          </cell>
          <cell r="C33">
            <v>1</v>
          </cell>
          <cell r="E33">
            <v>17194730.469999999</v>
          </cell>
          <cell r="G33">
            <v>20036352.469999999</v>
          </cell>
        </row>
        <row r="34">
          <cell r="B34">
            <v>1111114</v>
          </cell>
          <cell r="C34">
            <v>2</v>
          </cell>
          <cell r="E34">
            <v>3985776</v>
          </cell>
          <cell r="G34">
            <v>10785437</v>
          </cell>
        </row>
        <row r="35">
          <cell r="B35">
            <v>1111114</v>
          </cell>
          <cell r="C35">
            <v>3</v>
          </cell>
          <cell r="E35">
            <v>0</v>
          </cell>
          <cell r="G35">
            <v>0</v>
          </cell>
        </row>
        <row r="36">
          <cell r="B36">
            <v>1111114</v>
          </cell>
          <cell r="C36">
            <v>4</v>
          </cell>
          <cell r="E36">
            <v>0</v>
          </cell>
          <cell r="G36">
            <v>0</v>
          </cell>
        </row>
        <row r="37">
          <cell r="B37">
            <v>1111114</v>
          </cell>
          <cell r="C37">
            <v>5</v>
          </cell>
          <cell r="E37">
            <v>0</v>
          </cell>
          <cell r="G37">
            <v>0</v>
          </cell>
        </row>
        <row r="38">
          <cell r="B38">
            <v>1111114</v>
          </cell>
          <cell r="C38">
            <v>7</v>
          </cell>
          <cell r="E38">
            <v>0</v>
          </cell>
          <cell r="G38">
            <v>0</v>
          </cell>
        </row>
        <row r="39">
          <cell r="B39">
            <v>1111114</v>
          </cell>
          <cell r="C39">
            <v>9</v>
          </cell>
          <cell r="E39">
            <v>900000</v>
          </cell>
          <cell r="G39">
            <v>0</v>
          </cell>
        </row>
        <row r="40">
          <cell r="B40" t="str">
            <v>SECTION</v>
          </cell>
          <cell r="C40">
            <v>1111115</v>
          </cell>
          <cell r="E40">
            <v>58254711.109999999</v>
          </cell>
          <cell r="G40">
            <v>74946044.109999999</v>
          </cell>
        </row>
        <row r="41">
          <cell r="B41">
            <v>1111115</v>
          </cell>
          <cell r="C41">
            <v>1</v>
          </cell>
          <cell r="E41">
            <v>37254711.109999999</v>
          </cell>
          <cell r="G41">
            <v>54411940.109999999</v>
          </cell>
        </row>
        <row r="42">
          <cell r="B42">
            <v>1111115</v>
          </cell>
          <cell r="C42">
            <v>2</v>
          </cell>
          <cell r="E42">
            <v>21000000</v>
          </cell>
          <cell r="G42">
            <v>20534104</v>
          </cell>
        </row>
        <row r="43">
          <cell r="B43">
            <v>1111115</v>
          </cell>
          <cell r="C43">
            <v>7</v>
          </cell>
          <cell r="E43">
            <v>0</v>
          </cell>
          <cell r="G43">
            <v>0</v>
          </cell>
        </row>
        <row r="44">
          <cell r="B44" t="str">
            <v>MIN</v>
          </cell>
          <cell r="C44">
            <v>1112</v>
          </cell>
          <cell r="E44">
            <v>4864294003.4052982</v>
          </cell>
          <cell r="G44">
            <v>5442737277.2852993</v>
          </cell>
        </row>
        <row r="45">
          <cell r="B45" t="str">
            <v>chap</v>
          </cell>
          <cell r="C45">
            <v>11121</v>
          </cell>
          <cell r="E45">
            <v>1204406978.3403001</v>
          </cell>
          <cell r="G45">
            <v>1503353899.3403001</v>
          </cell>
        </row>
        <row r="46">
          <cell r="B46" t="str">
            <v>SECTION</v>
          </cell>
          <cell r="C46">
            <v>1112111</v>
          </cell>
          <cell r="E46">
            <v>55697668.820000008</v>
          </cell>
          <cell r="G46">
            <v>74076330.820000008</v>
          </cell>
        </row>
        <row r="47">
          <cell r="B47">
            <v>1112111</v>
          </cell>
          <cell r="C47">
            <v>1</v>
          </cell>
          <cell r="E47">
            <v>28942575.260000002</v>
          </cell>
          <cell r="G47">
            <v>34213151.260000005</v>
          </cell>
        </row>
        <row r="48">
          <cell r="B48">
            <v>1112111</v>
          </cell>
          <cell r="C48">
            <v>2</v>
          </cell>
          <cell r="E48">
            <v>8949743.7599999998</v>
          </cell>
          <cell r="G48">
            <v>16624179.760000002</v>
          </cell>
        </row>
        <row r="49">
          <cell r="B49">
            <v>1112111</v>
          </cell>
          <cell r="C49">
            <v>3</v>
          </cell>
          <cell r="E49">
            <v>4050117.6000000006</v>
          </cell>
          <cell r="G49">
            <v>6203967.6000000006</v>
          </cell>
        </row>
        <row r="50">
          <cell r="B50">
            <v>1112111</v>
          </cell>
          <cell r="C50">
            <v>4</v>
          </cell>
          <cell r="E50">
            <v>0</v>
          </cell>
          <cell r="G50">
            <v>0</v>
          </cell>
        </row>
        <row r="51">
          <cell r="B51">
            <v>1112111</v>
          </cell>
          <cell r="C51">
            <v>5</v>
          </cell>
          <cell r="E51">
            <v>0</v>
          </cell>
          <cell r="G51">
            <v>0</v>
          </cell>
        </row>
        <row r="52">
          <cell r="B52">
            <v>1112111</v>
          </cell>
          <cell r="C52">
            <v>7</v>
          </cell>
          <cell r="E52">
            <v>0</v>
          </cell>
          <cell r="G52">
            <v>0</v>
          </cell>
        </row>
        <row r="53">
          <cell r="B53">
            <v>1112111</v>
          </cell>
          <cell r="C53">
            <v>9</v>
          </cell>
          <cell r="E53">
            <v>13755232.200000003</v>
          </cell>
          <cell r="G53">
            <v>17035032.199999999</v>
          </cell>
        </row>
        <row r="54">
          <cell r="B54" t="str">
            <v>SECTION</v>
          </cell>
          <cell r="C54">
            <v>1112112</v>
          </cell>
          <cell r="E54">
            <v>883427492.27629995</v>
          </cell>
          <cell r="G54">
            <v>1088078675.2763</v>
          </cell>
        </row>
        <row r="55">
          <cell r="B55">
            <v>1112112</v>
          </cell>
          <cell r="C55">
            <v>1</v>
          </cell>
          <cell r="E55">
            <v>394307980.52999991</v>
          </cell>
          <cell r="G55">
            <v>516164287.52999991</v>
          </cell>
        </row>
        <row r="56">
          <cell r="B56">
            <v>1112112</v>
          </cell>
          <cell r="C56">
            <v>2</v>
          </cell>
          <cell r="E56">
            <v>54396465.615499996</v>
          </cell>
          <cell r="G56">
            <v>90999515.615500003</v>
          </cell>
        </row>
        <row r="57">
          <cell r="B57">
            <v>1112112</v>
          </cell>
          <cell r="C57">
            <v>3</v>
          </cell>
          <cell r="E57">
            <v>34032379.228799991</v>
          </cell>
          <cell r="G57">
            <v>89720088.228799999</v>
          </cell>
        </row>
        <row r="58">
          <cell r="B58">
            <v>1112112</v>
          </cell>
          <cell r="C58">
            <v>4</v>
          </cell>
          <cell r="E58">
            <v>16423205.1404</v>
          </cell>
          <cell r="G58">
            <v>27208696.1404</v>
          </cell>
        </row>
        <row r="59">
          <cell r="B59">
            <v>1112112</v>
          </cell>
          <cell r="C59">
            <v>5</v>
          </cell>
          <cell r="E59">
            <v>679461.48719999997</v>
          </cell>
          <cell r="G59">
            <v>679452.48719999986</v>
          </cell>
        </row>
        <row r="60">
          <cell r="B60">
            <v>1112112</v>
          </cell>
          <cell r="C60">
            <v>7</v>
          </cell>
          <cell r="E60">
            <v>538000</v>
          </cell>
          <cell r="G60">
            <v>538000</v>
          </cell>
        </row>
        <row r="61">
          <cell r="B61">
            <v>1112112</v>
          </cell>
          <cell r="C61">
            <v>9</v>
          </cell>
          <cell r="E61">
            <v>383050000.2744</v>
          </cell>
          <cell r="G61">
            <v>362768635.2744</v>
          </cell>
        </row>
        <row r="62">
          <cell r="B62" t="str">
            <v>SECTION</v>
          </cell>
          <cell r="C62">
            <v>1112119</v>
          </cell>
          <cell r="E62">
            <v>50086849.324000001</v>
          </cell>
          <cell r="G62">
            <v>100000000.324</v>
          </cell>
        </row>
        <row r="63">
          <cell r="B63">
            <v>1112119</v>
          </cell>
          <cell r="C63">
            <v>1</v>
          </cell>
          <cell r="E63">
            <v>30000000</v>
          </cell>
          <cell r="G63">
            <v>39000000</v>
          </cell>
        </row>
        <row r="64">
          <cell r="B64">
            <v>1112119</v>
          </cell>
          <cell r="C64">
            <v>2</v>
          </cell>
          <cell r="E64">
            <v>20086849.324000001</v>
          </cell>
          <cell r="G64">
            <v>61000000.324000001</v>
          </cell>
        </row>
        <row r="65">
          <cell r="B65">
            <v>1112119</v>
          </cell>
          <cell r="C65">
            <v>7</v>
          </cell>
          <cell r="E65">
            <v>0</v>
          </cell>
          <cell r="G65">
            <v>0</v>
          </cell>
        </row>
        <row r="66">
          <cell r="B66" t="str">
            <v>SECTION</v>
          </cell>
          <cell r="C66">
            <v>1112121</v>
          </cell>
          <cell r="E66">
            <v>148198893</v>
          </cell>
          <cell r="G66">
            <v>169198893</v>
          </cell>
        </row>
        <row r="67">
          <cell r="B67">
            <v>1112121</v>
          </cell>
          <cell r="C67">
            <v>1</v>
          </cell>
          <cell r="E67">
            <v>98839225.100000009</v>
          </cell>
          <cell r="G67">
            <v>98839225.100000009</v>
          </cell>
        </row>
        <row r="68">
          <cell r="B68">
            <v>1112121</v>
          </cell>
          <cell r="C68">
            <v>2</v>
          </cell>
          <cell r="E68">
            <v>49359667.899999999</v>
          </cell>
          <cell r="G68">
            <v>70359667.899999991</v>
          </cell>
        </row>
        <row r="69">
          <cell r="B69">
            <v>1112121</v>
          </cell>
          <cell r="C69">
            <v>7</v>
          </cell>
          <cell r="E69">
            <v>0</v>
          </cell>
          <cell r="G69">
            <v>0</v>
          </cell>
        </row>
        <row r="70">
          <cell r="B70" t="str">
            <v>SECTION</v>
          </cell>
          <cell r="C70">
            <v>1112122</v>
          </cell>
          <cell r="E70">
            <v>66898874.920000002</v>
          </cell>
          <cell r="G70">
            <v>71999999.920000002</v>
          </cell>
        </row>
        <row r="71">
          <cell r="B71">
            <v>1112122</v>
          </cell>
          <cell r="C71">
            <v>1</v>
          </cell>
          <cell r="E71">
            <v>32516012.489999998</v>
          </cell>
          <cell r="G71">
            <v>32516012.489999998</v>
          </cell>
        </row>
        <row r="72">
          <cell r="B72">
            <v>1112122</v>
          </cell>
          <cell r="C72">
            <v>2</v>
          </cell>
          <cell r="E72">
            <v>25882862.43</v>
          </cell>
          <cell r="G72">
            <v>39483987.43</v>
          </cell>
        </row>
        <row r="73">
          <cell r="B73">
            <v>1112122</v>
          </cell>
          <cell r="C73">
            <v>3</v>
          </cell>
          <cell r="E73">
            <v>0</v>
          </cell>
          <cell r="G73">
            <v>0</v>
          </cell>
        </row>
        <row r="74">
          <cell r="B74">
            <v>1112122</v>
          </cell>
          <cell r="C74">
            <v>4</v>
          </cell>
          <cell r="E74">
            <v>0</v>
          </cell>
          <cell r="G74">
            <v>0</v>
          </cell>
        </row>
        <row r="75">
          <cell r="B75">
            <v>1112122</v>
          </cell>
          <cell r="C75">
            <v>5</v>
          </cell>
          <cell r="E75">
            <v>0</v>
          </cell>
          <cell r="G75">
            <v>0</v>
          </cell>
        </row>
        <row r="76">
          <cell r="B76">
            <v>1112122</v>
          </cell>
          <cell r="C76">
            <v>7</v>
          </cell>
          <cell r="E76">
            <v>0</v>
          </cell>
          <cell r="G76">
            <v>0</v>
          </cell>
        </row>
        <row r="77">
          <cell r="B77">
            <v>1112122</v>
          </cell>
          <cell r="C77">
            <v>9</v>
          </cell>
          <cell r="E77">
            <v>8500000</v>
          </cell>
          <cell r="G77">
            <v>0</v>
          </cell>
        </row>
        <row r="78">
          <cell r="B78" t="str">
            <v>SECTION</v>
          </cell>
          <cell r="C78">
            <v>1112117</v>
          </cell>
          <cell r="E78">
            <v>97200</v>
          </cell>
          <cell r="G78">
            <v>0</v>
          </cell>
        </row>
        <row r="79">
          <cell r="B79">
            <v>1112117</v>
          </cell>
          <cell r="C79">
            <v>1</v>
          </cell>
          <cell r="E79">
            <v>97200</v>
          </cell>
          <cell r="G79">
            <v>0</v>
          </cell>
        </row>
        <row r="80">
          <cell r="B80" t="str">
            <v>SECTION</v>
          </cell>
          <cell r="C80">
            <v>1112128</v>
          </cell>
          <cell r="E80">
            <v>0</v>
          </cell>
          <cell r="G80">
            <v>0</v>
          </cell>
        </row>
        <row r="81">
          <cell r="B81">
            <v>1112128</v>
          </cell>
          <cell r="C81">
            <v>7</v>
          </cell>
          <cell r="E81">
            <v>0</v>
          </cell>
          <cell r="G81">
            <v>0</v>
          </cell>
        </row>
        <row r="82">
          <cell r="B82" t="str">
            <v>chap</v>
          </cell>
          <cell r="C82">
            <v>11122</v>
          </cell>
          <cell r="E82">
            <v>3659887025.0649986</v>
          </cell>
          <cell r="G82">
            <v>3939383377.9449987</v>
          </cell>
        </row>
        <row r="83">
          <cell r="B83" t="str">
            <v>SECTION</v>
          </cell>
          <cell r="C83">
            <v>1112213</v>
          </cell>
          <cell r="E83">
            <v>102204998.59100001</v>
          </cell>
          <cell r="G83">
            <v>112204990.59100001</v>
          </cell>
        </row>
        <row r="84">
          <cell r="B84">
            <v>1112213</v>
          </cell>
          <cell r="C84">
            <v>1</v>
          </cell>
          <cell r="E84">
            <v>86650000</v>
          </cell>
          <cell r="G84">
            <v>98960460</v>
          </cell>
        </row>
        <row r="85">
          <cell r="B85">
            <v>1112213</v>
          </cell>
          <cell r="C85">
            <v>2</v>
          </cell>
          <cell r="E85">
            <v>4384992.591</v>
          </cell>
          <cell r="G85">
            <v>4718046.591</v>
          </cell>
        </row>
        <row r="86">
          <cell r="B86">
            <v>1112213</v>
          </cell>
          <cell r="C86">
            <v>3</v>
          </cell>
          <cell r="E86">
            <v>3438507</v>
          </cell>
          <cell r="G86">
            <v>7192484</v>
          </cell>
        </row>
        <row r="87">
          <cell r="B87">
            <v>1112213</v>
          </cell>
          <cell r="C87">
            <v>4</v>
          </cell>
          <cell r="E87">
            <v>6125000</v>
          </cell>
          <cell r="G87">
            <v>824000</v>
          </cell>
        </row>
        <row r="88">
          <cell r="B88">
            <v>1112213</v>
          </cell>
          <cell r="C88">
            <v>5</v>
          </cell>
          <cell r="E88">
            <v>100000</v>
          </cell>
          <cell r="G88">
            <v>300000</v>
          </cell>
        </row>
        <row r="89">
          <cell r="B89">
            <v>1112213</v>
          </cell>
          <cell r="C89">
            <v>7</v>
          </cell>
          <cell r="E89">
            <v>1310000</v>
          </cell>
          <cell r="G89">
            <v>0</v>
          </cell>
        </row>
        <row r="90">
          <cell r="B90">
            <v>1112213</v>
          </cell>
          <cell r="C90">
            <v>9</v>
          </cell>
          <cell r="E90">
            <v>196499</v>
          </cell>
          <cell r="G90">
            <v>210000</v>
          </cell>
        </row>
        <row r="91">
          <cell r="B91" t="str">
            <v>SECTION</v>
          </cell>
          <cell r="C91">
            <v>1112214</v>
          </cell>
          <cell r="E91">
            <v>175179681.50999999</v>
          </cell>
          <cell r="G91">
            <v>214679681.38999999</v>
          </cell>
        </row>
        <row r="92">
          <cell r="B92">
            <v>1112214</v>
          </cell>
          <cell r="C92">
            <v>1</v>
          </cell>
          <cell r="E92">
            <v>103228485.11</v>
          </cell>
          <cell r="G92">
            <v>121319606.11</v>
          </cell>
        </row>
        <row r="93">
          <cell r="B93">
            <v>1112214</v>
          </cell>
          <cell r="C93">
            <v>2</v>
          </cell>
          <cell r="E93">
            <v>19015597.300000001</v>
          </cell>
          <cell r="G93">
            <v>27038102.93</v>
          </cell>
        </row>
        <row r="94">
          <cell r="B94">
            <v>1112214</v>
          </cell>
          <cell r="C94">
            <v>3</v>
          </cell>
          <cell r="E94">
            <v>17197967</v>
          </cell>
          <cell r="G94">
            <v>12796747.369999997</v>
          </cell>
        </row>
        <row r="95">
          <cell r="B95">
            <v>1112214</v>
          </cell>
          <cell r="C95">
            <v>4</v>
          </cell>
          <cell r="E95">
            <v>4934765.9399999985</v>
          </cell>
          <cell r="G95">
            <v>3598671.42</v>
          </cell>
        </row>
        <row r="96">
          <cell r="B96">
            <v>1112214</v>
          </cell>
          <cell r="C96">
            <v>5</v>
          </cell>
          <cell r="E96">
            <v>102894</v>
          </cell>
          <cell r="G96">
            <v>38760</v>
          </cell>
        </row>
        <row r="97">
          <cell r="B97">
            <v>1112214</v>
          </cell>
          <cell r="C97">
            <v>7</v>
          </cell>
          <cell r="E97">
            <v>660000</v>
          </cell>
          <cell r="G97">
            <v>500000</v>
          </cell>
        </row>
        <row r="98">
          <cell r="B98">
            <v>1112214</v>
          </cell>
          <cell r="C98">
            <v>9</v>
          </cell>
          <cell r="E98">
            <v>30039972.159999996</v>
          </cell>
          <cell r="G98">
            <v>49387793.559999995</v>
          </cell>
        </row>
        <row r="99">
          <cell r="B99" t="str">
            <v>SECTION</v>
          </cell>
          <cell r="C99">
            <v>1112215</v>
          </cell>
          <cell r="E99">
            <v>1339999072.9999998</v>
          </cell>
          <cell r="G99">
            <v>1529998861.9999998</v>
          </cell>
        </row>
        <row r="100">
          <cell r="B100">
            <v>1112215</v>
          </cell>
          <cell r="C100">
            <v>1</v>
          </cell>
          <cell r="E100">
            <v>913010972.40999997</v>
          </cell>
          <cell r="G100">
            <v>798010972.40999997</v>
          </cell>
        </row>
        <row r="101">
          <cell r="B101">
            <v>1112215</v>
          </cell>
          <cell r="C101">
            <v>2</v>
          </cell>
          <cell r="E101">
            <v>218583021.93000001</v>
          </cell>
          <cell r="G101">
            <v>266529894.93000001</v>
          </cell>
        </row>
        <row r="102">
          <cell r="B102">
            <v>1112215</v>
          </cell>
          <cell r="C102">
            <v>3</v>
          </cell>
          <cell r="E102">
            <v>140585865.81</v>
          </cell>
          <cell r="G102">
            <v>137638810.81</v>
          </cell>
        </row>
        <row r="103">
          <cell r="B103">
            <v>1112215</v>
          </cell>
          <cell r="C103">
            <v>4</v>
          </cell>
          <cell r="E103">
            <v>24419212.850000001</v>
          </cell>
          <cell r="G103">
            <v>44419183.850000001</v>
          </cell>
        </row>
        <row r="104">
          <cell r="B104">
            <v>1112215</v>
          </cell>
          <cell r="C104">
            <v>5</v>
          </cell>
          <cell r="E104">
            <v>0</v>
          </cell>
          <cell r="G104">
            <v>0</v>
          </cell>
        </row>
        <row r="105">
          <cell r="B105">
            <v>1112215</v>
          </cell>
          <cell r="C105">
            <v>7</v>
          </cell>
          <cell r="E105">
            <v>400000</v>
          </cell>
          <cell r="G105">
            <v>400000</v>
          </cell>
        </row>
        <row r="106">
          <cell r="B106">
            <v>1112215</v>
          </cell>
          <cell r="C106">
            <v>9</v>
          </cell>
          <cell r="E106">
            <v>43000000</v>
          </cell>
          <cell r="G106">
            <v>283000000</v>
          </cell>
        </row>
        <row r="107">
          <cell r="B107" t="str">
            <v>SECTION</v>
          </cell>
          <cell r="C107">
            <v>1112216</v>
          </cell>
          <cell r="E107">
            <v>1950461930.3699992</v>
          </cell>
          <cell r="G107">
            <v>1960461859.3699992</v>
          </cell>
        </row>
        <row r="108">
          <cell r="B108">
            <v>1112216</v>
          </cell>
          <cell r="C108">
            <v>1</v>
          </cell>
          <cell r="E108">
            <v>957773352.94999969</v>
          </cell>
          <cell r="G108">
            <v>957773305.94999969</v>
          </cell>
        </row>
        <row r="109">
          <cell r="B109">
            <v>1112216</v>
          </cell>
          <cell r="C109">
            <v>2</v>
          </cell>
          <cell r="E109">
            <v>559612249.12699986</v>
          </cell>
          <cell r="G109">
            <v>561922316.12699986</v>
          </cell>
        </row>
        <row r="110">
          <cell r="B110">
            <v>1112216</v>
          </cell>
          <cell r="C110">
            <v>3</v>
          </cell>
          <cell r="E110">
            <v>180285635.278</v>
          </cell>
          <cell r="G110">
            <v>177975568.278</v>
          </cell>
        </row>
        <row r="111">
          <cell r="B111">
            <v>1112216</v>
          </cell>
          <cell r="C111">
            <v>4</v>
          </cell>
          <cell r="E111">
            <v>124572049.24800001</v>
          </cell>
          <cell r="G111">
            <v>74572042.248000011</v>
          </cell>
        </row>
        <row r="112">
          <cell r="B112">
            <v>1112216</v>
          </cell>
          <cell r="C112">
            <v>5</v>
          </cell>
          <cell r="E112">
            <v>2551902.304</v>
          </cell>
          <cell r="G112">
            <v>2551896.304</v>
          </cell>
        </row>
        <row r="113">
          <cell r="B113">
            <v>1112216</v>
          </cell>
          <cell r="C113">
            <v>7</v>
          </cell>
          <cell r="E113">
            <v>3011346.12</v>
          </cell>
          <cell r="G113">
            <v>3011334.12</v>
          </cell>
        </row>
        <row r="114">
          <cell r="B114">
            <v>1112216</v>
          </cell>
          <cell r="C114">
            <v>9</v>
          </cell>
          <cell r="E114">
            <v>122655395.34300001</v>
          </cell>
          <cell r="G114">
            <v>182655396.34299999</v>
          </cell>
        </row>
        <row r="115">
          <cell r="B115" t="str">
            <v>SECTION</v>
          </cell>
          <cell r="C115">
            <v>1112225</v>
          </cell>
          <cell r="E115">
            <v>92041341.594000027</v>
          </cell>
          <cell r="G115">
            <v>122037984.59400003</v>
          </cell>
        </row>
        <row r="116">
          <cell r="B116">
            <v>1112225</v>
          </cell>
          <cell r="C116">
            <v>1</v>
          </cell>
          <cell r="E116">
            <v>45700933.13000001</v>
          </cell>
          <cell r="G116">
            <v>54500836.13000001</v>
          </cell>
        </row>
        <row r="117">
          <cell r="B117">
            <v>1112225</v>
          </cell>
          <cell r="C117">
            <v>2</v>
          </cell>
          <cell r="E117">
            <v>14673854.921</v>
          </cell>
          <cell r="G117">
            <v>19980076.921</v>
          </cell>
        </row>
        <row r="118">
          <cell r="B118">
            <v>1112225</v>
          </cell>
          <cell r="C118">
            <v>3</v>
          </cell>
          <cell r="E118">
            <v>11004555.4</v>
          </cell>
          <cell r="G118">
            <v>12134723.4</v>
          </cell>
        </row>
        <row r="119">
          <cell r="B119">
            <v>1112225</v>
          </cell>
          <cell r="C119">
            <v>4</v>
          </cell>
          <cell r="E119">
            <v>4059642.1430000002</v>
          </cell>
          <cell r="G119">
            <v>6920000.1430000002</v>
          </cell>
        </row>
        <row r="120">
          <cell r="B120">
            <v>1112225</v>
          </cell>
          <cell r="C120">
            <v>5</v>
          </cell>
          <cell r="E120">
            <v>0</v>
          </cell>
          <cell r="G120">
            <v>0</v>
          </cell>
        </row>
        <row r="121">
          <cell r="B121">
            <v>1112225</v>
          </cell>
          <cell r="C121">
            <v>7</v>
          </cell>
          <cell r="E121">
            <v>0</v>
          </cell>
          <cell r="G121">
            <v>0</v>
          </cell>
        </row>
        <row r="122">
          <cell r="B122">
            <v>1112225</v>
          </cell>
          <cell r="C122">
            <v>9</v>
          </cell>
          <cell r="E122">
            <v>16602356</v>
          </cell>
          <cell r="G122">
            <v>28502348</v>
          </cell>
        </row>
        <row r="123">
          <cell r="B123" t="str">
            <v>MIN</v>
          </cell>
          <cell r="C123">
            <v>1113</v>
          </cell>
          <cell r="E123">
            <v>1126885281.2390001</v>
          </cell>
          <cell r="G123">
            <v>1318276572.2390001</v>
          </cell>
        </row>
        <row r="124">
          <cell r="B124" t="str">
            <v>chap</v>
          </cell>
          <cell r="C124">
            <v>11131</v>
          </cell>
          <cell r="E124">
            <v>1126885281.2390001</v>
          </cell>
          <cell r="G124">
            <v>1318276572.2390001</v>
          </cell>
        </row>
        <row r="125">
          <cell r="B125" t="str">
            <v>SECTION</v>
          </cell>
          <cell r="C125">
            <v>1113111</v>
          </cell>
          <cell r="E125">
            <v>99678752.520000011</v>
          </cell>
          <cell r="G125">
            <v>139804878.52000001</v>
          </cell>
        </row>
        <row r="126">
          <cell r="B126">
            <v>1113111</v>
          </cell>
          <cell r="C126">
            <v>1</v>
          </cell>
          <cell r="E126">
            <v>53269120</v>
          </cell>
          <cell r="G126">
            <v>67784354</v>
          </cell>
        </row>
        <row r="127">
          <cell r="B127">
            <v>1113111</v>
          </cell>
          <cell r="C127">
            <v>2</v>
          </cell>
          <cell r="E127">
            <v>821220.96000000008</v>
          </cell>
          <cell r="G127">
            <v>821220.96000000008</v>
          </cell>
        </row>
        <row r="128">
          <cell r="B128">
            <v>1113111</v>
          </cell>
          <cell r="C128">
            <v>3</v>
          </cell>
          <cell r="E128">
            <v>2060610.48</v>
          </cell>
          <cell r="G128">
            <v>741521.48000000021</v>
          </cell>
        </row>
        <row r="129">
          <cell r="B129">
            <v>1113111</v>
          </cell>
          <cell r="C129">
            <v>4</v>
          </cell>
          <cell r="E129">
            <v>2660175.34</v>
          </cell>
          <cell r="G129">
            <v>17660160.34</v>
          </cell>
        </row>
        <row r="130">
          <cell r="B130">
            <v>1113111</v>
          </cell>
          <cell r="C130">
            <v>5</v>
          </cell>
          <cell r="E130">
            <v>0</v>
          </cell>
          <cell r="G130">
            <v>0</v>
          </cell>
        </row>
        <row r="131">
          <cell r="B131">
            <v>1113111</v>
          </cell>
          <cell r="C131">
            <v>7</v>
          </cell>
          <cell r="E131">
            <v>5306617.68</v>
          </cell>
          <cell r="G131">
            <v>5306617.68</v>
          </cell>
        </row>
        <row r="132">
          <cell r="B132">
            <v>1113111</v>
          </cell>
          <cell r="C132">
            <v>9</v>
          </cell>
          <cell r="E132">
            <v>35561008.060000002</v>
          </cell>
          <cell r="G132">
            <v>47491004.060000002</v>
          </cell>
        </row>
        <row r="133">
          <cell r="B133" t="str">
            <v>SECTION</v>
          </cell>
          <cell r="C133">
            <v>1113112</v>
          </cell>
          <cell r="E133">
            <v>821514319.61899996</v>
          </cell>
          <cell r="G133">
            <v>941559199.61899996</v>
          </cell>
        </row>
        <row r="134">
          <cell r="B134">
            <v>1113112</v>
          </cell>
          <cell r="C134">
            <v>1</v>
          </cell>
          <cell r="E134">
            <v>615898608.19000006</v>
          </cell>
          <cell r="G134">
            <v>627658849.19000006</v>
          </cell>
        </row>
        <row r="135">
          <cell r="B135">
            <v>1113112</v>
          </cell>
          <cell r="C135">
            <v>2</v>
          </cell>
          <cell r="E135">
            <v>45237957.780000001</v>
          </cell>
          <cell r="G135">
            <v>45010309.780000001</v>
          </cell>
        </row>
        <row r="136">
          <cell r="B136">
            <v>1113112</v>
          </cell>
          <cell r="C136">
            <v>3</v>
          </cell>
          <cell r="E136">
            <v>81001426.740999997</v>
          </cell>
          <cell r="G136">
            <v>67048043.740999997</v>
          </cell>
        </row>
        <row r="137">
          <cell r="B137">
            <v>1113112</v>
          </cell>
          <cell r="C137">
            <v>4</v>
          </cell>
          <cell r="E137">
            <v>46727054.088</v>
          </cell>
          <cell r="G137">
            <v>11722733.088</v>
          </cell>
        </row>
        <row r="138">
          <cell r="B138">
            <v>1113112</v>
          </cell>
          <cell r="C138">
            <v>5</v>
          </cell>
          <cell r="E138">
            <v>0</v>
          </cell>
          <cell r="G138">
            <v>0</v>
          </cell>
        </row>
        <row r="139">
          <cell r="B139">
            <v>1113112</v>
          </cell>
          <cell r="C139">
            <v>7</v>
          </cell>
          <cell r="E139">
            <v>3000000.04</v>
          </cell>
          <cell r="G139">
            <v>3000000.04</v>
          </cell>
        </row>
        <row r="140">
          <cell r="B140">
            <v>1113112</v>
          </cell>
          <cell r="C140">
            <v>9</v>
          </cell>
          <cell r="E140">
            <v>29649272.780000001</v>
          </cell>
          <cell r="G140">
            <v>187119263.78</v>
          </cell>
        </row>
        <row r="141">
          <cell r="B141" t="str">
            <v>SECTION</v>
          </cell>
          <cell r="C141">
            <v>1113113</v>
          </cell>
          <cell r="E141">
            <v>105071834.52000001</v>
          </cell>
          <cell r="G141">
            <v>130071764.52000001</v>
          </cell>
        </row>
        <row r="142">
          <cell r="B142">
            <v>1113113</v>
          </cell>
          <cell r="C142">
            <v>1</v>
          </cell>
          <cell r="E142">
            <v>94623243.480000004</v>
          </cell>
          <cell r="G142">
            <v>94623180.480000004</v>
          </cell>
        </row>
        <row r="143">
          <cell r="B143">
            <v>1113113</v>
          </cell>
          <cell r="C143">
            <v>2</v>
          </cell>
          <cell r="E143">
            <v>8848591.0399999991</v>
          </cell>
          <cell r="G143">
            <v>35448584.039999999</v>
          </cell>
        </row>
        <row r="144">
          <cell r="B144">
            <v>1113113</v>
          </cell>
          <cell r="C144">
            <v>3</v>
          </cell>
          <cell r="E144">
            <v>0</v>
          </cell>
          <cell r="G144">
            <v>0</v>
          </cell>
        </row>
        <row r="145">
          <cell r="B145">
            <v>1113113</v>
          </cell>
          <cell r="C145">
            <v>4</v>
          </cell>
          <cell r="E145">
            <v>0</v>
          </cell>
          <cell r="G145">
            <v>0</v>
          </cell>
        </row>
        <row r="146">
          <cell r="B146">
            <v>1113113</v>
          </cell>
          <cell r="C146">
            <v>5</v>
          </cell>
          <cell r="E146">
            <v>0</v>
          </cell>
          <cell r="G146">
            <v>0</v>
          </cell>
        </row>
        <row r="147">
          <cell r="B147">
            <v>1113113</v>
          </cell>
          <cell r="C147">
            <v>7</v>
          </cell>
          <cell r="E147">
            <v>0</v>
          </cell>
          <cell r="G147">
            <v>0</v>
          </cell>
        </row>
        <row r="148">
          <cell r="B148">
            <v>1113113</v>
          </cell>
          <cell r="C148">
            <v>9</v>
          </cell>
          <cell r="E148">
            <v>1600000</v>
          </cell>
          <cell r="G148">
            <v>0</v>
          </cell>
        </row>
        <row r="149">
          <cell r="B149" t="str">
            <v>SECTION</v>
          </cell>
          <cell r="C149">
            <v>1113114</v>
          </cell>
          <cell r="E149">
            <v>71523919.700000003</v>
          </cell>
          <cell r="G149">
            <v>77999999.700000003</v>
          </cell>
        </row>
        <row r="150">
          <cell r="B150">
            <v>1113114</v>
          </cell>
          <cell r="C150">
            <v>1</v>
          </cell>
          <cell r="E150">
            <v>54450445</v>
          </cell>
          <cell r="G150">
            <v>54450445</v>
          </cell>
        </row>
        <row r="151">
          <cell r="B151">
            <v>1113114</v>
          </cell>
          <cell r="C151">
            <v>2</v>
          </cell>
          <cell r="E151">
            <v>17073474.699999999</v>
          </cell>
          <cell r="G151">
            <v>23549554.699999999</v>
          </cell>
        </row>
        <row r="152">
          <cell r="B152">
            <v>1113114</v>
          </cell>
          <cell r="C152">
            <v>3</v>
          </cell>
          <cell r="E152">
            <v>0</v>
          </cell>
          <cell r="G152">
            <v>0</v>
          </cell>
        </row>
        <row r="153">
          <cell r="B153">
            <v>1113114</v>
          </cell>
          <cell r="C153">
            <v>4</v>
          </cell>
          <cell r="E153">
            <v>0</v>
          </cell>
          <cell r="G153">
            <v>0</v>
          </cell>
        </row>
        <row r="154">
          <cell r="B154">
            <v>1113114</v>
          </cell>
          <cell r="C154">
            <v>5</v>
          </cell>
          <cell r="E154">
            <v>0</v>
          </cell>
          <cell r="G154">
            <v>0</v>
          </cell>
        </row>
        <row r="155">
          <cell r="B155">
            <v>1113114</v>
          </cell>
          <cell r="C155">
            <v>7</v>
          </cell>
          <cell r="E155">
            <v>0</v>
          </cell>
          <cell r="G155">
            <v>0</v>
          </cell>
        </row>
        <row r="156">
          <cell r="B156">
            <v>1113114</v>
          </cell>
          <cell r="C156">
            <v>9</v>
          </cell>
          <cell r="E156">
            <v>0</v>
          </cell>
          <cell r="G156">
            <v>0</v>
          </cell>
        </row>
        <row r="157">
          <cell r="B157" t="str">
            <v>SECTION</v>
          </cell>
          <cell r="C157">
            <v>1113116</v>
          </cell>
          <cell r="E157">
            <v>12018594.879999999</v>
          </cell>
          <cell r="G157">
            <v>12018583.879999999</v>
          </cell>
        </row>
        <row r="158">
          <cell r="B158">
            <v>1113116</v>
          </cell>
          <cell r="C158">
            <v>1</v>
          </cell>
          <cell r="E158">
            <v>8128879.919999999</v>
          </cell>
          <cell r="G158">
            <v>8128879.919999999</v>
          </cell>
        </row>
        <row r="159">
          <cell r="B159">
            <v>1113116</v>
          </cell>
          <cell r="C159">
            <v>2</v>
          </cell>
          <cell r="E159">
            <v>3889714.96</v>
          </cell>
          <cell r="G159">
            <v>3889703.96</v>
          </cell>
        </row>
        <row r="160">
          <cell r="B160">
            <v>1113116</v>
          </cell>
          <cell r="C160">
            <v>7</v>
          </cell>
          <cell r="E160">
            <v>0</v>
          </cell>
          <cell r="G160">
            <v>0</v>
          </cell>
        </row>
        <row r="161">
          <cell r="B161" t="str">
            <v>SECTION</v>
          </cell>
          <cell r="C161">
            <v>1113117</v>
          </cell>
          <cell r="E161">
            <v>17077860</v>
          </cell>
          <cell r="G161">
            <v>16822146</v>
          </cell>
        </row>
        <row r="162">
          <cell r="B162">
            <v>1113117</v>
          </cell>
          <cell r="C162">
            <v>1</v>
          </cell>
          <cell r="E162">
            <v>8693898</v>
          </cell>
          <cell r="G162">
            <v>8693898</v>
          </cell>
        </row>
        <row r="163">
          <cell r="B163">
            <v>1113117</v>
          </cell>
          <cell r="C163">
            <v>2</v>
          </cell>
          <cell r="E163">
            <v>8383962</v>
          </cell>
          <cell r="G163">
            <v>8128248</v>
          </cell>
        </row>
        <row r="164">
          <cell r="B164">
            <v>1113117</v>
          </cell>
          <cell r="C164">
            <v>7</v>
          </cell>
          <cell r="E164">
            <v>0</v>
          </cell>
          <cell r="G164">
            <v>0</v>
          </cell>
        </row>
        <row r="165">
          <cell r="B165" t="str">
            <v>MIN</v>
          </cell>
          <cell r="C165">
            <v>1114</v>
          </cell>
          <cell r="E165">
            <v>1043073672.8190001</v>
          </cell>
          <cell r="G165">
            <v>1088083961.8190002</v>
          </cell>
        </row>
        <row r="166">
          <cell r="B166" t="str">
            <v>chap</v>
          </cell>
          <cell r="C166">
            <v>11141</v>
          </cell>
          <cell r="E166">
            <v>1043073672.8190001</v>
          </cell>
          <cell r="G166">
            <v>1088083961.8190002</v>
          </cell>
        </row>
        <row r="167">
          <cell r="B167" t="str">
            <v>SECTION</v>
          </cell>
          <cell r="C167">
            <v>1114111</v>
          </cell>
          <cell r="E167">
            <v>58722403.912</v>
          </cell>
          <cell r="G167">
            <v>58255423.912</v>
          </cell>
        </row>
        <row r="168">
          <cell r="B168">
            <v>1114111</v>
          </cell>
          <cell r="C168">
            <v>1</v>
          </cell>
          <cell r="E168">
            <v>41257058.039999999</v>
          </cell>
          <cell r="G168">
            <v>41257058.039999999</v>
          </cell>
        </row>
        <row r="169">
          <cell r="B169">
            <v>1114111</v>
          </cell>
          <cell r="C169">
            <v>2</v>
          </cell>
          <cell r="E169">
            <v>6175007.9960000003</v>
          </cell>
          <cell r="G169">
            <v>6175007.9960000003</v>
          </cell>
        </row>
        <row r="170">
          <cell r="B170">
            <v>1114111</v>
          </cell>
          <cell r="C170">
            <v>3</v>
          </cell>
          <cell r="E170">
            <v>2972422.8</v>
          </cell>
          <cell r="G170">
            <v>2972422.8</v>
          </cell>
        </row>
        <row r="171">
          <cell r="B171">
            <v>1114111</v>
          </cell>
          <cell r="C171">
            <v>4</v>
          </cell>
          <cell r="E171">
            <v>7150455.4760000007</v>
          </cell>
          <cell r="G171">
            <v>7150455.4760000007</v>
          </cell>
        </row>
        <row r="172">
          <cell r="B172">
            <v>1114111</v>
          </cell>
          <cell r="C172">
            <v>5</v>
          </cell>
          <cell r="E172">
            <v>0</v>
          </cell>
          <cell r="G172">
            <v>0</v>
          </cell>
        </row>
        <row r="173">
          <cell r="B173">
            <v>1114111</v>
          </cell>
          <cell r="C173">
            <v>7</v>
          </cell>
          <cell r="E173">
            <v>700475.76</v>
          </cell>
          <cell r="G173">
            <v>700475.76</v>
          </cell>
        </row>
        <row r="174">
          <cell r="B174">
            <v>1114111</v>
          </cell>
          <cell r="C174">
            <v>9</v>
          </cell>
          <cell r="E174">
            <v>466983.84</v>
          </cell>
          <cell r="G174">
            <v>3.8400000000256114</v>
          </cell>
        </row>
        <row r="175">
          <cell r="B175" t="str">
            <v>SECTION</v>
          </cell>
          <cell r="C175">
            <v>1114112</v>
          </cell>
          <cell r="E175">
            <v>547984671.67500007</v>
          </cell>
          <cell r="G175">
            <v>562984671.67500007</v>
          </cell>
        </row>
        <row r="176">
          <cell r="B176">
            <v>1114112</v>
          </cell>
          <cell r="C176">
            <v>1</v>
          </cell>
          <cell r="E176">
            <v>386892485.07999992</v>
          </cell>
          <cell r="G176">
            <v>402492485.07999992</v>
          </cell>
        </row>
        <row r="177">
          <cell r="B177">
            <v>1114112</v>
          </cell>
          <cell r="C177">
            <v>2</v>
          </cell>
          <cell r="E177">
            <v>76944169.203000009</v>
          </cell>
          <cell r="G177">
            <v>86454144.203000009</v>
          </cell>
        </row>
        <row r="178">
          <cell r="B178">
            <v>1114112</v>
          </cell>
          <cell r="C178">
            <v>3</v>
          </cell>
          <cell r="E178">
            <v>76202182.112000018</v>
          </cell>
          <cell r="G178">
            <v>68950172.112000018</v>
          </cell>
        </row>
        <row r="179">
          <cell r="B179">
            <v>1114112</v>
          </cell>
          <cell r="C179">
            <v>4</v>
          </cell>
          <cell r="E179">
            <v>3164749.32</v>
          </cell>
          <cell r="G179">
            <v>3164749.32</v>
          </cell>
        </row>
        <row r="180">
          <cell r="B180">
            <v>1114112</v>
          </cell>
          <cell r="C180">
            <v>5</v>
          </cell>
          <cell r="E180">
            <v>0</v>
          </cell>
          <cell r="G180">
            <v>0</v>
          </cell>
        </row>
        <row r="181">
          <cell r="B181">
            <v>1114112</v>
          </cell>
          <cell r="C181">
            <v>7</v>
          </cell>
          <cell r="E181">
            <v>0</v>
          </cell>
          <cell r="G181">
            <v>0</v>
          </cell>
        </row>
        <row r="182">
          <cell r="B182">
            <v>1114112</v>
          </cell>
          <cell r="C182">
            <v>9</v>
          </cell>
          <cell r="E182">
            <v>4781085.96</v>
          </cell>
          <cell r="G182">
            <v>1923120.96</v>
          </cell>
        </row>
        <row r="183">
          <cell r="B183" t="str">
            <v>SECTION</v>
          </cell>
          <cell r="C183">
            <v>1114115</v>
          </cell>
          <cell r="E183">
            <v>23093809.440000001</v>
          </cell>
          <cell r="G183">
            <v>23093809.440000001</v>
          </cell>
        </row>
        <row r="184">
          <cell r="B184">
            <v>1114115</v>
          </cell>
          <cell r="C184">
            <v>1</v>
          </cell>
          <cell r="E184">
            <v>19732652.52</v>
          </cell>
          <cell r="G184">
            <v>19732652.52</v>
          </cell>
        </row>
        <row r="185">
          <cell r="B185">
            <v>1114115</v>
          </cell>
          <cell r="C185">
            <v>2</v>
          </cell>
          <cell r="E185">
            <v>3361156.9200000004</v>
          </cell>
          <cell r="G185">
            <v>3361156.9200000004</v>
          </cell>
        </row>
        <row r="186">
          <cell r="B186">
            <v>1114115</v>
          </cell>
          <cell r="C186">
            <v>3</v>
          </cell>
          <cell r="E186">
            <v>0</v>
          </cell>
          <cell r="G186">
            <v>0</v>
          </cell>
        </row>
        <row r="187">
          <cell r="B187">
            <v>1114115</v>
          </cell>
          <cell r="C187">
            <v>4</v>
          </cell>
          <cell r="E187">
            <v>0</v>
          </cell>
          <cell r="G187">
            <v>0</v>
          </cell>
        </row>
        <row r="188">
          <cell r="B188">
            <v>1114115</v>
          </cell>
          <cell r="C188">
            <v>5</v>
          </cell>
          <cell r="E188">
            <v>0</v>
          </cell>
          <cell r="G188">
            <v>0</v>
          </cell>
        </row>
        <row r="189">
          <cell r="B189">
            <v>1114115</v>
          </cell>
          <cell r="C189">
            <v>7</v>
          </cell>
          <cell r="E189">
            <v>0</v>
          </cell>
          <cell r="G189">
            <v>0</v>
          </cell>
        </row>
        <row r="190">
          <cell r="B190">
            <v>1114115</v>
          </cell>
          <cell r="C190">
            <v>9</v>
          </cell>
          <cell r="E190">
            <v>0</v>
          </cell>
          <cell r="G190">
            <v>0</v>
          </cell>
        </row>
        <row r="191">
          <cell r="B191" t="str">
            <v>SECTION</v>
          </cell>
          <cell r="C191">
            <v>1114116</v>
          </cell>
          <cell r="E191">
            <v>57999999.878000006</v>
          </cell>
          <cell r="G191">
            <v>61999951.878000006</v>
          </cell>
        </row>
        <row r="192">
          <cell r="B192">
            <v>1114116</v>
          </cell>
          <cell r="C192">
            <v>1</v>
          </cell>
          <cell r="E192">
            <v>46850615.960000001</v>
          </cell>
          <cell r="G192">
            <v>48350615.960000001</v>
          </cell>
        </row>
        <row r="193">
          <cell r="B193">
            <v>1114116</v>
          </cell>
          <cell r="C193">
            <v>2</v>
          </cell>
          <cell r="E193">
            <v>11149383.918000001</v>
          </cell>
          <cell r="G193">
            <v>13649335.918000001</v>
          </cell>
        </row>
        <row r="194">
          <cell r="B194">
            <v>1114116</v>
          </cell>
          <cell r="C194">
            <v>3</v>
          </cell>
          <cell r="E194">
            <v>0</v>
          </cell>
          <cell r="G194">
            <v>0</v>
          </cell>
        </row>
        <row r="195">
          <cell r="B195">
            <v>1114116</v>
          </cell>
          <cell r="C195">
            <v>4</v>
          </cell>
          <cell r="E195">
            <v>0</v>
          </cell>
          <cell r="G195">
            <v>0</v>
          </cell>
        </row>
        <row r="196">
          <cell r="B196">
            <v>1114116</v>
          </cell>
          <cell r="C196">
            <v>5</v>
          </cell>
          <cell r="E196">
            <v>0</v>
          </cell>
          <cell r="G196">
            <v>0</v>
          </cell>
        </row>
        <row r="197">
          <cell r="B197">
            <v>1114116</v>
          </cell>
          <cell r="C197">
            <v>7</v>
          </cell>
          <cell r="E197">
            <v>0</v>
          </cell>
          <cell r="G197">
            <v>0</v>
          </cell>
        </row>
        <row r="198">
          <cell r="B198">
            <v>1114116</v>
          </cell>
          <cell r="C198">
            <v>9</v>
          </cell>
          <cell r="E198">
            <v>0</v>
          </cell>
          <cell r="G198">
            <v>0</v>
          </cell>
        </row>
        <row r="199">
          <cell r="B199" t="str">
            <v>SECTION</v>
          </cell>
          <cell r="C199">
            <v>1114117</v>
          </cell>
          <cell r="E199">
            <v>35000000.038000003</v>
          </cell>
          <cell r="G199">
            <v>35000000.038000003</v>
          </cell>
        </row>
        <row r="200">
          <cell r="B200">
            <v>1114117</v>
          </cell>
          <cell r="C200">
            <v>1</v>
          </cell>
          <cell r="E200">
            <v>19217409.999999996</v>
          </cell>
          <cell r="G200">
            <v>19217409.999999996</v>
          </cell>
        </row>
        <row r="201">
          <cell r="B201">
            <v>1114117</v>
          </cell>
          <cell r="C201">
            <v>2</v>
          </cell>
          <cell r="E201">
            <v>15782590.038000003</v>
          </cell>
          <cell r="G201">
            <v>15782590.038000003</v>
          </cell>
        </row>
        <row r="202">
          <cell r="B202">
            <v>1114117</v>
          </cell>
          <cell r="C202">
            <v>3</v>
          </cell>
          <cell r="E202">
            <v>0</v>
          </cell>
          <cell r="G202">
            <v>0</v>
          </cell>
        </row>
        <row r="203">
          <cell r="B203">
            <v>1114117</v>
          </cell>
          <cell r="C203">
            <v>4</v>
          </cell>
          <cell r="E203">
            <v>0</v>
          </cell>
          <cell r="G203">
            <v>0</v>
          </cell>
        </row>
        <row r="204">
          <cell r="B204">
            <v>1114117</v>
          </cell>
          <cell r="C204">
            <v>5</v>
          </cell>
          <cell r="E204">
            <v>0</v>
          </cell>
          <cell r="G204">
            <v>0</v>
          </cell>
        </row>
        <row r="205">
          <cell r="B205">
            <v>1114117</v>
          </cell>
          <cell r="C205">
            <v>7</v>
          </cell>
          <cell r="E205">
            <v>0</v>
          </cell>
          <cell r="G205">
            <v>0</v>
          </cell>
        </row>
        <row r="206">
          <cell r="B206">
            <v>1114117</v>
          </cell>
          <cell r="C206">
            <v>9</v>
          </cell>
          <cell r="E206">
            <v>0</v>
          </cell>
          <cell r="G206">
            <v>0</v>
          </cell>
        </row>
        <row r="207">
          <cell r="B207" t="str">
            <v>SECTION</v>
          </cell>
          <cell r="C207">
            <v>1114118</v>
          </cell>
          <cell r="E207">
            <v>7740558.1220000004</v>
          </cell>
          <cell r="G207">
            <v>7740558.1220000004</v>
          </cell>
        </row>
        <row r="208">
          <cell r="B208">
            <v>1114118</v>
          </cell>
          <cell r="C208">
            <v>1</v>
          </cell>
          <cell r="E208">
            <v>7255598.1600000001</v>
          </cell>
          <cell r="G208">
            <v>7255598.1600000001</v>
          </cell>
        </row>
        <row r="209">
          <cell r="B209">
            <v>1114118</v>
          </cell>
          <cell r="C209">
            <v>2</v>
          </cell>
          <cell r="E209">
            <v>484959.96200000006</v>
          </cell>
          <cell r="G209">
            <v>484959.96200000006</v>
          </cell>
        </row>
        <row r="210">
          <cell r="B210">
            <v>1114118</v>
          </cell>
          <cell r="C210">
            <v>3</v>
          </cell>
          <cell r="E210">
            <v>0</v>
          </cell>
          <cell r="G210">
            <v>0</v>
          </cell>
        </row>
        <row r="211">
          <cell r="B211">
            <v>1114118</v>
          </cell>
          <cell r="C211">
            <v>4</v>
          </cell>
          <cell r="E211">
            <v>0</v>
          </cell>
          <cell r="G211">
            <v>0</v>
          </cell>
        </row>
        <row r="212">
          <cell r="B212">
            <v>1114118</v>
          </cell>
          <cell r="C212">
            <v>5</v>
          </cell>
          <cell r="E212">
            <v>0</v>
          </cell>
          <cell r="G212">
            <v>0</v>
          </cell>
        </row>
        <row r="213">
          <cell r="B213">
            <v>1114118</v>
          </cell>
          <cell r="C213">
            <v>7</v>
          </cell>
          <cell r="E213">
            <v>0</v>
          </cell>
          <cell r="G213">
            <v>0</v>
          </cell>
        </row>
        <row r="214">
          <cell r="B214">
            <v>1114118</v>
          </cell>
          <cell r="C214">
            <v>9</v>
          </cell>
          <cell r="E214">
            <v>0</v>
          </cell>
          <cell r="G214">
            <v>0</v>
          </cell>
        </row>
        <row r="215">
          <cell r="B215" t="str">
            <v>SECTION</v>
          </cell>
          <cell r="C215">
            <v>1114119</v>
          </cell>
          <cell r="E215">
            <v>53000001.001999997</v>
          </cell>
          <cell r="G215">
            <v>60000001.001999997</v>
          </cell>
        </row>
        <row r="216">
          <cell r="B216">
            <v>1114119</v>
          </cell>
          <cell r="C216">
            <v>1</v>
          </cell>
          <cell r="E216">
            <v>46304432.869999997</v>
          </cell>
          <cell r="G216">
            <v>46304432.869999997</v>
          </cell>
        </row>
        <row r="217">
          <cell r="B217">
            <v>1114119</v>
          </cell>
          <cell r="C217">
            <v>2</v>
          </cell>
          <cell r="E217">
            <v>6695568.1320000002</v>
          </cell>
          <cell r="G217">
            <v>13695568.131999999</v>
          </cell>
        </row>
        <row r="218">
          <cell r="B218">
            <v>1114119</v>
          </cell>
          <cell r="C218">
            <v>3</v>
          </cell>
          <cell r="E218">
            <v>0</v>
          </cell>
          <cell r="G218">
            <v>0</v>
          </cell>
        </row>
        <row r="219">
          <cell r="B219">
            <v>1114119</v>
          </cell>
          <cell r="C219">
            <v>4</v>
          </cell>
          <cell r="E219">
            <v>0</v>
          </cell>
          <cell r="G219">
            <v>0</v>
          </cell>
        </row>
        <row r="220">
          <cell r="B220">
            <v>1114119</v>
          </cell>
          <cell r="C220">
            <v>5</v>
          </cell>
          <cell r="E220">
            <v>0</v>
          </cell>
          <cell r="G220">
            <v>0</v>
          </cell>
        </row>
        <row r="221">
          <cell r="B221">
            <v>1114119</v>
          </cell>
          <cell r="C221">
            <v>7</v>
          </cell>
          <cell r="E221">
            <v>0</v>
          </cell>
          <cell r="G221">
            <v>0</v>
          </cell>
        </row>
        <row r="222">
          <cell r="B222">
            <v>1114119</v>
          </cell>
          <cell r="C222">
            <v>9</v>
          </cell>
          <cell r="E222">
            <v>0</v>
          </cell>
          <cell r="G222">
            <v>0</v>
          </cell>
        </row>
        <row r="223">
          <cell r="B223" t="str">
            <v>SECTION</v>
          </cell>
          <cell r="C223">
            <v>1114120</v>
          </cell>
          <cell r="E223">
            <v>4994417.0360000003</v>
          </cell>
          <cell r="G223">
            <v>4994417.0360000003</v>
          </cell>
        </row>
        <row r="224">
          <cell r="B224">
            <v>1114120</v>
          </cell>
          <cell r="C224">
            <v>1</v>
          </cell>
          <cell r="E224">
            <v>119730</v>
          </cell>
          <cell r="G224">
            <v>119730</v>
          </cell>
        </row>
        <row r="225">
          <cell r="B225">
            <v>1114120</v>
          </cell>
          <cell r="C225">
            <v>2</v>
          </cell>
          <cell r="E225">
            <v>4874687.0360000003</v>
          </cell>
          <cell r="G225">
            <v>4874687.0360000003</v>
          </cell>
        </row>
        <row r="226">
          <cell r="B226">
            <v>1114120</v>
          </cell>
          <cell r="C226">
            <v>7</v>
          </cell>
          <cell r="E226">
            <v>0</v>
          </cell>
          <cell r="G226">
            <v>0</v>
          </cell>
        </row>
        <row r="227">
          <cell r="B227" t="str">
            <v>SECTION</v>
          </cell>
          <cell r="C227">
            <v>1114121</v>
          </cell>
          <cell r="E227">
            <v>195315128.676</v>
          </cell>
          <cell r="G227">
            <v>210015128.676</v>
          </cell>
        </row>
        <row r="228">
          <cell r="B228">
            <v>1114121</v>
          </cell>
          <cell r="C228">
            <v>1</v>
          </cell>
          <cell r="E228">
            <v>136464798.64000002</v>
          </cell>
          <cell r="G228">
            <v>136464798.64000002</v>
          </cell>
        </row>
        <row r="229">
          <cell r="B229">
            <v>1114121</v>
          </cell>
          <cell r="C229">
            <v>2</v>
          </cell>
          <cell r="E229">
            <v>58850330.035999998</v>
          </cell>
          <cell r="G229">
            <v>73550330.035999998</v>
          </cell>
        </row>
        <row r="230">
          <cell r="B230">
            <v>1114121</v>
          </cell>
          <cell r="C230">
            <v>7</v>
          </cell>
          <cell r="E230">
            <v>0</v>
          </cell>
          <cell r="G230">
            <v>0</v>
          </cell>
        </row>
        <row r="231">
          <cell r="B231" t="str">
            <v>SECTION</v>
          </cell>
          <cell r="C231">
            <v>1114122</v>
          </cell>
          <cell r="E231">
            <v>59222683.039999999</v>
          </cell>
          <cell r="G231">
            <v>64000000.039999999</v>
          </cell>
        </row>
        <row r="232">
          <cell r="B232">
            <v>1114122</v>
          </cell>
          <cell r="C232">
            <v>1</v>
          </cell>
          <cell r="E232">
            <v>52722683.039999999</v>
          </cell>
          <cell r="G232">
            <v>52722683.039999999</v>
          </cell>
        </row>
        <row r="233">
          <cell r="B233">
            <v>1114122</v>
          </cell>
          <cell r="C233">
            <v>2</v>
          </cell>
          <cell r="E233">
            <v>6500000</v>
          </cell>
          <cell r="G233">
            <v>11277317</v>
          </cell>
        </row>
        <row r="234">
          <cell r="B234">
            <v>1114122</v>
          </cell>
          <cell r="C234">
            <v>7</v>
          </cell>
          <cell r="E234">
            <v>0</v>
          </cell>
          <cell r="G234">
            <v>0</v>
          </cell>
        </row>
        <row r="235">
          <cell r="B235" t="str">
            <v>SECTION</v>
          </cell>
          <cell r="C235">
            <v>1114123</v>
          </cell>
          <cell r="E235">
            <v>0</v>
          </cell>
          <cell r="G235">
            <v>0</v>
          </cell>
        </row>
        <row r="236">
          <cell r="B236">
            <v>1114123</v>
          </cell>
          <cell r="C236">
            <v>1</v>
          </cell>
          <cell r="E236">
            <v>0</v>
          </cell>
          <cell r="G236">
            <v>0</v>
          </cell>
        </row>
        <row r="237">
          <cell r="B237">
            <v>1114123</v>
          </cell>
          <cell r="C237">
            <v>2</v>
          </cell>
          <cell r="E237">
            <v>0</v>
          </cell>
          <cell r="G237">
            <v>0</v>
          </cell>
        </row>
        <row r="238">
          <cell r="B238">
            <v>1114123</v>
          </cell>
          <cell r="C238">
            <v>7</v>
          </cell>
          <cell r="E238">
            <v>0</v>
          </cell>
          <cell r="G238">
            <v>0</v>
          </cell>
        </row>
        <row r="239">
          <cell r="B239" t="str">
            <v>MIN</v>
          </cell>
          <cell r="C239">
            <v>1115</v>
          </cell>
          <cell r="E239">
            <v>518225879.7354337</v>
          </cell>
          <cell r="G239">
            <v>561710435.78543365</v>
          </cell>
        </row>
        <row r="240">
          <cell r="B240" t="str">
            <v>chap</v>
          </cell>
          <cell r="C240">
            <v>11151</v>
          </cell>
          <cell r="E240">
            <v>518225879.7354337</v>
          </cell>
          <cell r="G240">
            <v>561710435.78543365</v>
          </cell>
        </row>
        <row r="241">
          <cell r="B241" t="str">
            <v>SECTION</v>
          </cell>
          <cell r="C241">
            <v>1115111</v>
          </cell>
          <cell r="E241">
            <v>47971096.570504658</v>
          </cell>
          <cell r="G241">
            <v>55285665.570504658</v>
          </cell>
        </row>
        <row r="242">
          <cell r="B242">
            <v>1115111</v>
          </cell>
          <cell r="C242">
            <v>1</v>
          </cell>
          <cell r="E242">
            <v>21349999.996504657</v>
          </cell>
          <cell r="G242">
            <v>28628149.996504657</v>
          </cell>
        </row>
        <row r="243">
          <cell r="B243">
            <v>1115111</v>
          </cell>
          <cell r="C243">
            <v>2</v>
          </cell>
          <cell r="E243">
            <v>5000000.256000001</v>
          </cell>
          <cell r="G243">
            <v>9696072.256000001</v>
          </cell>
        </row>
        <row r="244">
          <cell r="B244">
            <v>1115111</v>
          </cell>
          <cell r="C244">
            <v>3</v>
          </cell>
          <cell r="E244">
            <v>8999999.9979999997</v>
          </cell>
          <cell r="G244">
            <v>12161298.998</v>
          </cell>
        </row>
        <row r="245">
          <cell r="B245">
            <v>1115111</v>
          </cell>
          <cell r="C245">
            <v>4</v>
          </cell>
          <cell r="E245">
            <v>3800000.0000000005</v>
          </cell>
          <cell r="G245">
            <v>3800180.0000000005</v>
          </cell>
        </row>
        <row r="246">
          <cell r="B246">
            <v>1115111</v>
          </cell>
          <cell r="C246">
            <v>5</v>
          </cell>
          <cell r="E246">
            <v>0</v>
          </cell>
          <cell r="G246">
            <v>0</v>
          </cell>
        </row>
        <row r="247">
          <cell r="B247">
            <v>1115111</v>
          </cell>
          <cell r="C247">
            <v>7</v>
          </cell>
          <cell r="E247">
            <v>1000000</v>
          </cell>
          <cell r="G247">
            <v>0</v>
          </cell>
        </row>
        <row r="248">
          <cell r="B248">
            <v>1115111</v>
          </cell>
          <cell r="C248">
            <v>9</v>
          </cell>
          <cell r="E248">
            <v>7821096.3200000003</v>
          </cell>
          <cell r="G248">
            <v>999964.3200000003</v>
          </cell>
        </row>
        <row r="249">
          <cell r="B249" t="str">
            <v>SECTION</v>
          </cell>
          <cell r="C249">
            <v>1115112</v>
          </cell>
          <cell r="E249">
            <v>225784343.42492902</v>
          </cell>
          <cell r="G249">
            <v>250964330.47492903</v>
          </cell>
        </row>
        <row r="250">
          <cell r="B250">
            <v>1115112</v>
          </cell>
          <cell r="C250">
            <v>1</v>
          </cell>
          <cell r="E250">
            <v>208142666.5</v>
          </cell>
          <cell r="G250">
            <v>210864332.5</v>
          </cell>
        </row>
        <row r="251">
          <cell r="B251">
            <v>1115112</v>
          </cell>
          <cell r="C251">
            <v>2</v>
          </cell>
          <cell r="E251">
            <v>4033283.0410000002</v>
          </cell>
          <cell r="G251">
            <v>6671491.0410000002</v>
          </cell>
        </row>
        <row r="252">
          <cell r="B252">
            <v>1115112</v>
          </cell>
          <cell r="C252">
            <v>3</v>
          </cell>
          <cell r="E252">
            <v>9267935.9940000009</v>
          </cell>
          <cell r="G252">
            <v>8708134.9940000009</v>
          </cell>
        </row>
        <row r="253">
          <cell r="B253">
            <v>1115112</v>
          </cell>
          <cell r="C253">
            <v>4</v>
          </cell>
          <cell r="E253">
            <v>3840455.9399290266</v>
          </cell>
          <cell r="G253">
            <v>8340387.9399290271</v>
          </cell>
        </row>
        <row r="254">
          <cell r="B254">
            <v>1115112</v>
          </cell>
          <cell r="C254">
            <v>5</v>
          </cell>
          <cell r="E254">
            <v>0</v>
          </cell>
          <cell r="G254">
            <v>0</v>
          </cell>
        </row>
        <row r="255">
          <cell r="B255">
            <v>1115112</v>
          </cell>
          <cell r="C255">
            <v>7</v>
          </cell>
          <cell r="E255">
            <v>500000</v>
          </cell>
          <cell r="G255">
            <v>0</v>
          </cell>
        </row>
        <row r="256">
          <cell r="B256">
            <v>1115112</v>
          </cell>
          <cell r="C256">
            <v>9</v>
          </cell>
          <cell r="E256">
            <v>1.9500000000000002</v>
          </cell>
          <cell r="G256">
            <v>16379984</v>
          </cell>
        </row>
        <row r="257">
          <cell r="B257" t="str">
            <v>SECTION</v>
          </cell>
          <cell r="C257">
            <v>1115113</v>
          </cell>
          <cell r="E257">
            <v>98279392</v>
          </cell>
          <cell r="G257">
            <v>104269392</v>
          </cell>
        </row>
        <row r="258">
          <cell r="B258">
            <v>1115113</v>
          </cell>
          <cell r="C258">
            <v>1</v>
          </cell>
          <cell r="E258">
            <v>72884409</v>
          </cell>
          <cell r="G258">
            <v>82074420</v>
          </cell>
        </row>
        <row r="259">
          <cell r="B259">
            <v>1115113</v>
          </cell>
          <cell r="C259">
            <v>2</v>
          </cell>
          <cell r="E259">
            <v>25394983</v>
          </cell>
          <cell r="G259">
            <v>22194972</v>
          </cell>
        </row>
        <row r="260">
          <cell r="B260">
            <v>1115113</v>
          </cell>
          <cell r="C260">
            <v>7</v>
          </cell>
          <cell r="E260">
            <v>0</v>
          </cell>
          <cell r="G260">
            <v>0</v>
          </cell>
        </row>
        <row r="261">
          <cell r="B261" t="str">
            <v>SECTION</v>
          </cell>
          <cell r="C261">
            <v>1115115</v>
          </cell>
          <cell r="E261">
            <v>36068992.450000003</v>
          </cell>
          <cell r="G261">
            <v>41068992.450000003</v>
          </cell>
        </row>
        <row r="262">
          <cell r="B262">
            <v>1115115</v>
          </cell>
          <cell r="C262">
            <v>1</v>
          </cell>
          <cell r="E262">
            <v>19800150.52</v>
          </cell>
          <cell r="G262">
            <v>19800150.52</v>
          </cell>
        </row>
        <row r="263">
          <cell r="B263">
            <v>1115115</v>
          </cell>
          <cell r="C263">
            <v>2</v>
          </cell>
          <cell r="E263">
            <v>16268841.93</v>
          </cell>
          <cell r="G263">
            <v>21268841.93</v>
          </cell>
        </row>
        <row r="264">
          <cell r="B264">
            <v>1115115</v>
          </cell>
          <cell r="C264">
            <v>7</v>
          </cell>
          <cell r="E264">
            <v>0</v>
          </cell>
          <cell r="G264">
            <v>0</v>
          </cell>
        </row>
        <row r="265">
          <cell r="B265" t="str">
            <v>SECTION</v>
          </cell>
          <cell r="C265">
            <v>1115116</v>
          </cell>
          <cell r="E265">
            <v>110122055.28999999</v>
          </cell>
          <cell r="G265">
            <v>110122055.28999999</v>
          </cell>
        </row>
        <row r="266">
          <cell r="B266">
            <v>1115116</v>
          </cell>
          <cell r="C266">
            <v>1</v>
          </cell>
          <cell r="E266">
            <v>47220749.990000002</v>
          </cell>
          <cell r="G266">
            <v>47220749.990000002</v>
          </cell>
        </row>
        <row r="267">
          <cell r="B267">
            <v>1115116</v>
          </cell>
          <cell r="C267">
            <v>2</v>
          </cell>
          <cell r="E267">
            <v>62901305.299999997</v>
          </cell>
          <cell r="G267">
            <v>62901305.299999997</v>
          </cell>
        </row>
        <row r="268">
          <cell r="B268">
            <v>1115116</v>
          </cell>
          <cell r="C268">
            <v>7</v>
          </cell>
          <cell r="E268">
            <v>0</v>
          </cell>
          <cell r="G268">
            <v>0</v>
          </cell>
        </row>
        <row r="269">
          <cell r="B269" t="str">
            <v>MIN</v>
          </cell>
          <cell r="C269">
            <v>1116</v>
          </cell>
          <cell r="E269">
            <v>375047511.176</v>
          </cell>
          <cell r="G269">
            <v>595121511.19599998</v>
          </cell>
        </row>
        <row r="270">
          <cell r="B270" t="str">
            <v>chap</v>
          </cell>
          <cell r="C270">
            <v>11161</v>
          </cell>
          <cell r="E270">
            <v>375047511.176</v>
          </cell>
          <cell r="G270">
            <v>595121511.19599998</v>
          </cell>
        </row>
        <row r="271">
          <cell r="B271" t="str">
            <v>SECTION</v>
          </cell>
          <cell r="C271">
            <v>1116111</v>
          </cell>
          <cell r="E271">
            <v>79533979.710000008</v>
          </cell>
          <cell r="G271">
            <v>96366872.790000007</v>
          </cell>
        </row>
        <row r="272">
          <cell r="B272">
            <v>1116111</v>
          </cell>
          <cell r="C272">
            <v>1</v>
          </cell>
          <cell r="E272">
            <v>49449031.960000001</v>
          </cell>
          <cell r="G272">
            <v>50487005.960000001</v>
          </cell>
        </row>
        <row r="273">
          <cell r="B273">
            <v>1116111</v>
          </cell>
          <cell r="C273">
            <v>2</v>
          </cell>
          <cell r="E273">
            <v>5601046.4400000004</v>
          </cell>
          <cell r="G273">
            <v>9068990.4400000013</v>
          </cell>
        </row>
        <row r="274">
          <cell r="B274">
            <v>1116111</v>
          </cell>
          <cell r="C274">
            <v>3</v>
          </cell>
          <cell r="E274">
            <v>13817318.08</v>
          </cell>
          <cell r="G274">
            <v>26827304.16</v>
          </cell>
        </row>
        <row r="275">
          <cell r="B275">
            <v>1116111</v>
          </cell>
          <cell r="C275">
            <v>4</v>
          </cell>
          <cell r="E275">
            <v>0</v>
          </cell>
          <cell r="G275">
            <v>0</v>
          </cell>
        </row>
        <row r="276">
          <cell r="B276">
            <v>1116111</v>
          </cell>
          <cell r="C276">
            <v>5</v>
          </cell>
          <cell r="E276">
            <v>0</v>
          </cell>
          <cell r="G276">
            <v>0</v>
          </cell>
        </row>
        <row r="277">
          <cell r="B277">
            <v>1116111</v>
          </cell>
          <cell r="C277">
            <v>7</v>
          </cell>
          <cell r="E277">
            <v>0</v>
          </cell>
          <cell r="G277">
            <v>0</v>
          </cell>
        </row>
        <row r="278">
          <cell r="B278">
            <v>1116111</v>
          </cell>
          <cell r="C278">
            <v>9</v>
          </cell>
          <cell r="E278">
            <v>10666583.23</v>
          </cell>
          <cell r="G278">
            <v>9983572.2300000004</v>
          </cell>
        </row>
        <row r="279">
          <cell r="B279" t="str">
            <v>SECTION</v>
          </cell>
          <cell r="C279">
            <v>1116112</v>
          </cell>
          <cell r="E279">
            <v>295513531.46600002</v>
          </cell>
          <cell r="G279">
            <v>498754638.40600002</v>
          </cell>
        </row>
        <row r="280">
          <cell r="B280">
            <v>1116112</v>
          </cell>
          <cell r="C280">
            <v>1</v>
          </cell>
          <cell r="E280">
            <v>215273463.74999997</v>
          </cell>
          <cell r="G280">
            <v>371335345.92000002</v>
          </cell>
        </row>
        <row r="281">
          <cell r="B281">
            <v>1116112</v>
          </cell>
          <cell r="C281">
            <v>2</v>
          </cell>
          <cell r="E281">
            <v>28897418.770000003</v>
          </cell>
          <cell r="G281">
            <v>29414363.770000003</v>
          </cell>
        </row>
        <row r="282">
          <cell r="B282">
            <v>1116112</v>
          </cell>
          <cell r="C282">
            <v>3</v>
          </cell>
          <cell r="E282">
            <v>19318819.939999998</v>
          </cell>
          <cell r="G282">
            <v>16884741.940000001</v>
          </cell>
        </row>
        <row r="283">
          <cell r="B283">
            <v>1116112</v>
          </cell>
          <cell r="C283">
            <v>4</v>
          </cell>
          <cell r="E283">
            <v>11849855.036</v>
          </cell>
          <cell r="G283">
            <v>11048843.766000001</v>
          </cell>
        </row>
        <row r="284">
          <cell r="B284">
            <v>1116112</v>
          </cell>
          <cell r="C284">
            <v>5</v>
          </cell>
          <cell r="E284">
            <v>1200000</v>
          </cell>
          <cell r="G284">
            <v>2000000.04</v>
          </cell>
        </row>
        <row r="285">
          <cell r="B285">
            <v>1116112</v>
          </cell>
          <cell r="C285">
            <v>7</v>
          </cell>
          <cell r="E285">
            <v>7959573.9699999997</v>
          </cell>
          <cell r="G285">
            <v>5959551.9699999997</v>
          </cell>
        </row>
        <row r="286">
          <cell r="B286">
            <v>1116112</v>
          </cell>
          <cell r="C286">
            <v>9</v>
          </cell>
          <cell r="E286">
            <v>11014400</v>
          </cell>
          <cell r="G286">
            <v>62111791</v>
          </cell>
        </row>
        <row r="287">
          <cell r="B287" t="str">
            <v>SECTION</v>
          </cell>
          <cell r="C287">
            <v>1116113</v>
          </cell>
          <cell r="E287">
            <v>0</v>
          </cell>
          <cell r="G287">
            <v>0</v>
          </cell>
        </row>
        <row r="288">
          <cell r="B288">
            <v>1116113</v>
          </cell>
          <cell r="C288">
            <v>1</v>
          </cell>
          <cell r="E288">
            <v>0</v>
          </cell>
          <cell r="G288">
            <v>0</v>
          </cell>
        </row>
        <row r="289">
          <cell r="B289">
            <v>1116113</v>
          </cell>
          <cell r="C289">
            <v>2</v>
          </cell>
          <cell r="E289">
            <v>0</v>
          </cell>
          <cell r="G289">
            <v>0</v>
          </cell>
        </row>
        <row r="290">
          <cell r="B290">
            <v>1116113</v>
          </cell>
          <cell r="C290">
            <v>3</v>
          </cell>
          <cell r="E290">
            <v>0</v>
          </cell>
          <cell r="G290">
            <v>0</v>
          </cell>
        </row>
        <row r="291">
          <cell r="B291">
            <v>1116113</v>
          </cell>
          <cell r="C291">
            <v>4</v>
          </cell>
          <cell r="E291">
            <v>0</v>
          </cell>
          <cell r="G291">
            <v>0</v>
          </cell>
        </row>
        <row r="292">
          <cell r="B292">
            <v>1116113</v>
          </cell>
          <cell r="C292">
            <v>5</v>
          </cell>
          <cell r="E292">
            <v>0</v>
          </cell>
          <cell r="G292">
            <v>0</v>
          </cell>
        </row>
        <row r="293">
          <cell r="B293">
            <v>1116113</v>
          </cell>
          <cell r="C293">
            <v>7</v>
          </cell>
          <cell r="E293">
            <v>0</v>
          </cell>
          <cell r="G293">
            <v>0</v>
          </cell>
        </row>
        <row r="294">
          <cell r="B294">
            <v>1116113</v>
          </cell>
          <cell r="C294">
            <v>9</v>
          </cell>
          <cell r="E294">
            <v>0</v>
          </cell>
          <cell r="G294">
            <v>0</v>
          </cell>
        </row>
        <row r="295">
          <cell r="B295" t="str">
            <v>SECTION</v>
          </cell>
          <cell r="C295">
            <v>1116114</v>
          </cell>
          <cell r="E295">
            <v>0</v>
          </cell>
          <cell r="G295">
            <v>0</v>
          </cell>
        </row>
        <row r="296">
          <cell r="B296">
            <v>1116114</v>
          </cell>
          <cell r="C296">
            <v>1</v>
          </cell>
          <cell r="E296">
            <v>0</v>
          </cell>
          <cell r="G296">
            <v>0</v>
          </cell>
        </row>
        <row r="297">
          <cell r="B297">
            <v>1116114</v>
          </cell>
          <cell r="C297">
            <v>2</v>
          </cell>
          <cell r="E297">
            <v>0</v>
          </cell>
          <cell r="G297">
            <v>0</v>
          </cell>
        </row>
        <row r="298">
          <cell r="B298">
            <v>1116114</v>
          </cell>
          <cell r="C298">
            <v>3</v>
          </cell>
          <cell r="E298">
            <v>0</v>
          </cell>
          <cell r="G298">
            <v>0</v>
          </cell>
        </row>
        <row r="299">
          <cell r="B299">
            <v>1116114</v>
          </cell>
          <cell r="C299">
            <v>4</v>
          </cell>
          <cell r="E299">
            <v>0</v>
          </cell>
          <cell r="G299">
            <v>0</v>
          </cell>
        </row>
        <row r="300">
          <cell r="B300">
            <v>1116114</v>
          </cell>
          <cell r="C300">
            <v>5</v>
          </cell>
          <cell r="E300">
            <v>0</v>
          </cell>
          <cell r="G300">
            <v>0</v>
          </cell>
        </row>
        <row r="301">
          <cell r="B301">
            <v>1116114</v>
          </cell>
          <cell r="C301">
            <v>7</v>
          </cell>
          <cell r="E301">
            <v>0</v>
          </cell>
          <cell r="G301">
            <v>0</v>
          </cell>
        </row>
        <row r="302">
          <cell r="B302">
            <v>1116114</v>
          </cell>
          <cell r="C302">
            <v>9</v>
          </cell>
          <cell r="E302">
            <v>0</v>
          </cell>
          <cell r="G302">
            <v>0</v>
          </cell>
        </row>
        <row r="303">
          <cell r="B303" t="str">
            <v>MIN</v>
          </cell>
          <cell r="C303">
            <v>1117</v>
          </cell>
          <cell r="E303">
            <v>180311820.71438903</v>
          </cell>
          <cell r="G303">
            <v>218836790.89038903</v>
          </cell>
        </row>
        <row r="304">
          <cell r="B304" t="str">
            <v>chap</v>
          </cell>
          <cell r="C304">
            <v>11171</v>
          </cell>
          <cell r="E304">
            <v>180311820.71438903</v>
          </cell>
          <cell r="G304">
            <v>218836790.89038903</v>
          </cell>
        </row>
        <row r="305">
          <cell r="B305" t="str">
            <v>SECTION</v>
          </cell>
          <cell r="C305">
            <v>1117111</v>
          </cell>
          <cell r="E305">
            <v>28323937.120389003</v>
          </cell>
          <cell r="G305">
            <v>36460521.296389006</v>
          </cell>
        </row>
        <row r="306">
          <cell r="B306">
            <v>1117111</v>
          </cell>
          <cell r="C306">
            <v>1</v>
          </cell>
          <cell r="E306">
            <v>16699009.511389006</v>
          </cell>
          <cell r="G306">
            <v>19804329.511389006</v>
          </cell>
        </row>
        <row r="307">
          <cell r="B307">
            <v>1117111</v>
          </cell>
          <cell r="C307">
            <v>2</v>
          </cell>
          <cell r="E307">
            <v>8999999.8709999993</v>
          </cell>
          <cell r="G307">
            <v>13401212.870999999</v>
          </cell>
        </row>
        <row r="308">
          <cell r="B308">
            <v>1117111</v>
          </cell>
          <cell r="C308">
            <v>3</v>
          </cell>
          <cell r="E308">
            <v>0.44399999984307215</v>
          </cell>
          <cell r="G308">
            <v>-0.38000000000465661</v>
          </cell>
        </row>
        <row r="309">
          <cell r="B309">
            <v>1117111</v>
          </cell>
          <cell r="C309">
            <v>4</v>
          </cell>
          <cell r="E309">
            <v>1624927.294</v>
          </cell>
          <cell r="G309">
            <v>254979.29399999999</v>
          </cell>
        </row>
        <row r="310">
          <cell r="B310">
            <v>1117111</v>
          </cell>
          <cell r="C310">
            <v>5</v>
          </cell>
          <cell r="E310">
            <v>0</v>
          </cell>
          <cell r="G310">
            <v>0</v>
          </cell>
        </row>
        <row r="311">
          <cell r="B311">
            <v>1117111</v>
          </cell>
          <cell r="C311">
            <v>7</v>
          </cell>
          <cell r="E311">
            <v>0</v>
          </cell>
          <cell r="G311">
            <v>0</v>
          </cell>
        </row>
        <row r="312">
          <cell r="B312">
            <v>1117111</v>
          </cell>
          <cell r="C312">
            <v>9</v>
          </cell>
          <cell r="E312">
            <v>1000000</v>
          </cell>
          <cell r="G312">
            <v>3000000</v>
          </cell>
        </row>
        <row r="313">
          <cell r="B313" t="str">
            <v>SECTION</v>
          </cell>
          <cell r="C313">
            <v>1117112</v>
          </cell>
          <cell r="E313">
            <v>121714840.31400001</v>
          </cell>
          <cell r="G313">
            <v>151985142.31400001</v>
          </cell>
        </row>
        <row r="314">
          <cell r="B314">
            <v>1117112</v>
          </cell>
          <cell r="C314">
            <v>1</v>
          </cell>
          <cell r="E314">
            <v>86214840.330000013</v>
          </cell>
          <cell r="G314">
            <v>103634491.33000001</v>
          </cell>
        </row>
        <row r="315">
          <cell r="B315">
            <v>1117112</v>
          </cell>
          <cell r="C315">
            <v>2</v>
          </cell>
          <cell r="E315">
            <v>19499999.848999999</v>
          </cell>
          <cell r="G315">
            <v>10672799.848999999</v>
          </cell>
        </row>
        <row r="316">
          <cell r="B316">
            <v>1117112</v>
          </cell>
          <cell r="C316">
            <v>3</v>
          </cell>
          <cell r="E316">
            <v>0.32099999976344407</v>
          </cell>
          <cell r="G316">
            <v>12602730.321</v>
          </cell>
        </row>
        <row r="317">
          <cell r="B317">
            <v>1117112</v>
          </cell>
          <cell r="C317">
            <v>4</v>
          </cell>
          <cell r="E317">
            <v>3999999.7139999997</v>
          </cell>
          <cell r="G317">
            <v>5074947.7139999997</v>
          </cell>
        </row>
        <row r="318">
          <cell r="B318">
            <v>1117112</v>
          </cell>
          <cell r="C318">
            <v>5</v>
          </cell>
          <cell r="E318">
            <v>0</v>
          </cell>
          <cell r="G318">
            <v>0</v>
          </cell>
        </row>
        <row r="319">
          <cell r="B319">
            <v>1117112</v>
          </cell>
          <cell r="C319">
            <v>7</v>
          </cell>
          <cell r="E319">
            <v>0</v>
          </cell>
          <cell r="G319">
            <v>1000000</v>
          </cell>
        </row>
        <row r="320">
          <cell r="B320">
            <v>1117112</v>
          </cell>
          <cell r="C320">
            <v>9</v>
          </cell>
          <cell r="E320">
            <v>12000000.1</v>
          </cell>
          <cell r="G320">
            <v>19000173.100000001</v>
          </cell>
        </row>
        <row r="321">
          <cell r="B321" t="str">
            <v>SECTION</v>
          </cell>
          <cell r="C321">
            <v>1117113</v>
          </cell>
          <cell r="E321">
            <v>30273043.280000001</v>
          </cell>
          <cell r="G321">
            <v>30391127.280000001</v>
          </cell>
        </row>
        <row r="322">
          <cell r="B322">
            <v>1117113</v>
          </cell>
          <cell r="C322">
            <v>1</v>
          </cell>
          <cell r="E322">
            <v>17273043.280000001</v>
          </cell>
          <cell r="G322">
            <v>20391131.280000001</v>
          </cell>
        </row>
        <row r="323">
          <cell r="B323">
            <v>1117113</v>
          </cell>
          <cell r="C323">
            <v>2</v>
          </cell>
          <cell r="E323">
            <v>13000000</v>
          </cell>
          <cell r="G323">
            <v>9999996</v>
          </cell>
        </row>
        <row r="324">
          <cell r="B324">
            <v>1117113</v>
          </cell>
          <cell r="C324">
            <v>9</v>
          </cell>
          <cell r="E324">
            <v>0</v>
          </cell>
          <cell r="G324">
            <v>0</v>
          </cell>
        </row>
        <row r="325">
          <cell r="B325" t="str">
            <v>SECTEUR</v>
          </cell>
          <cell r="C325">
            <v>12</v>
          </cell>
          <cell r="E325">
            <v>18404183933.541096</v>
          </cell>
          <cell r="G325">
            <v>19849505566.131096</v>
          </cell>
        </row>
        <row r="326">
          <cell r="B326" t="str">
            <v>MIN</v>
          </cell>
          <cell r="C326">
            <v>1211</v>
          </cell>
          <cell r="E326">
            <v>10473535222.492001</v>
          </cell>
          <cell r="G326">
            <v>11218634902.492001</v>
          </cell>
        </row>
        <row r="327">
          <cell r="B327" t="str">
            <v>chap</v>
          </cell>
          <cell r="C327">
            <v>12111</v>
          </cell>
          <cell r="E327">
            <v>1692790464.9820001</v>
          </cell>
          <cell r="G327">
            <v>1847890228.9820001</v>
          </cell>
        </row>
        <row r="328">
          <cell r="B328" t="str">
            <v>SECTION</v>
          </cell>
          <cell r="C328">
            <v>1211111</v>
          </cell>
          <cell r="E328">
            <v>35685419.747999996</v>
          </cell>
          <cell r="G328">
            <v>42573367.747999996</v>
          </cell>
        </row>
        <row r="329">
          <cell r="B329">
            <v>1211111</v>
          </cell>
          <cell r="C329">
            <v>1</v>
          </cell>
          <cell r="E329">
            <v>24243967.259999998</v>
          </cell>
          <cell r="G329">
            <v>21131924.259999998</v>
          </cell>
        </row>
        <row r="330">
          <cell r="B330">
            <v>1211111</v>
          </cell>
          <cell r="C330">
            <v>2</v>
          </cell>
          <cell r="E330">
            <v>4171368.0239999997</v>
          </cell>
          <cell r="G330">
            <v>4171368.0239999997</v>
          </cell>
        </row>
        <row r="331">
          <cell r="B331">
            <v>1211111</v>
          </cell>
          <cell r="C331">
            <v>3</v>
          </cell>
          <cell r="E331">
            <v>2116800</v>
          </cell>
          <cell r="G331">
            <v>2116800</v>
          </cell>
        </row>
        <row r="332">
          <cell r="B332">
            <v>1211111</v>
          </cell>
          <cell r="C332">
            <v>4</v>
          </cell>
          <cell r="E332">
            <v>2403331.764</v>
          </cell>
          <cell r="G332">
            <v>2403331.764</v>
          </cell>
        </row>
        <row r="333">
          <cell r="B333">
            <v>1211111</v>
          </cell>
          <cell r="C333">
            <v>5</v>
          </cell>
          <cell r="E333">
            <v>0</v>
          </cell>
          <cell r="G333">
            <v>0</v>
          </cell>
        </row>
        <row r="334">
          <cell r="B334">
            <v>1211111</v>
          </cell>
          <cell r="C334">
            <v>7</v>
          </cell>
          <cell r="E334">
            <v>0</v>
          </cell>
          <cell r="G334">
            <v>0</v>
          </cell>
        </row>
        <row r="335">
          <cell r="B335">
            <v>1211111</v>
          </cell>
          <cell r="C335">
            <v>9</v>
          </cell>
          <cell r="E335">
            <v>2749952.6999999997</v>
          </cell>
          <cell r="G335">
            <v>12749943.699999999</v>
          </cell>
        </row>
        <row r="336">
          <cell r="B336" t="str">
            <v>SECTION</v>
          </cell>
          <cell r="C336">
            <v>1211112</v>
          </cell>
          <cell r="E336">
            <v>1364099367.0740001</v>
          </cell>
          <cell r="G336">
            <v>1481211188.0740004</v>
          </cell>
        </row>
        <row r="337">
          <cell r="B337">
            <v>1211112</v>
          </cell>
          <cell r="C337">
            <v>1</v>
          </cell>
          <cell r="E337">
            <v>1036747302.3300003</v>
          </cell>
          <cell r="G337">
            <v>1136859345.3300002</v>
          </cell>
        </row>
        <row r="338">
          <cell r="B338">
            <v>1211112</v>
          </cell>
          <cell r="C338">
            <v>2</v>
          </cell>
          <cell r="E338">
            <v>80512409.032000005</v>
          </cell>
          <cell r="G338">
            <v>80712308.032000005</v>
          </cell>
        </row>
        <row r="339">
          <cell r="B339">
            <v>1211112</v>
          </cell>
          <cell r="C339">
            <v>3</v>
          </cell>
          <cell r="E339">
            <v>93295185.542000011</v>
          </cell>
          <cell r="G339">
            <v>84095103.542000011</v>
          </cell>
        </row>
        <row r="340">
          <cell r="B340">
            <v>1211112</v>
          </cell>
          <cell r="C340">
            <v>4</v>
          </cell>
          <cell r="E340">
            <v>58260099.560000002</v>
          </cell>
          <cell r="G340">
            <v>34260060.560000002</v>
          </cell>
        </row>
        <row r="341">
          <cell r="B341">
            <v>1211112</v>
          </cell>
          <cell r="C341">
            <v>5</v>
          </cell>
          <cell r="E341">
            <v>0</v>
          </cell>
          <cell r="G341">
            <v>0</v>
          </cell>
        </row>
        <row r="342">
          <cell r="B342">
            <v>1211112</v>
          </cell>
          <cell r="C342">
            <v>7</v>
          </cell>
          <cell r="E342">
            <v>5000000</v>
          </cell>
          <cell r="G342">
            <v>5000000</v>
          </cell>
        </row>
        <row r="343">
          <cell r="B343">
            <v>1211112</v>
          </cell>
          <cell r="C343">
            <v>9</v>
          </cell>
          <cell r="E343">
            <v>90284370.609999999</v>
          </cell>
          <cell r="G343">
            <v>140284370.61000001</v>
          </cell>
        </row>
        <row r="344">
          <cell r="B344" t="str">
            <v>SECTION</v>
          </cell>
          <cell r="C344">
            <v>1211117</v>
          </cell>
          <cell r="E344">
            <v>54209420.780000001</v>
          </cell>
          <cell r="G344">
            <v>54209420.780000001</v>
          </cell>
        </row>
        <row r="345">
          <cell r="B345">
            <v>1211117</v>
          </cell>
          <cell r="C345">
            <v>1</v>
          </cell>
          <cell r="E345">
            <v>42500007.649999999</v>
          </cell>
          <cell r="G345">
            <v>42500007.649999999</v>
          </cell>
        </row>
        <row r="346">
          <cell r="B346">
            <v>1211117</v>
          </cell>
          <cell r="C346">
            <v>2</v>
          </cell>
          <cell r="E346">
            <v>11709413.130000001</v>
          </cell>
          <cell r="G346">
            <v>11709413.130000001</v>
          </cell>
        </row>
        <row r="347">
          <cell r="B347">
            <v>1211117</v>
          </cell>
          <cell r="C347">
            <v>7</v>
          </cell>
          <cell r="E347">
            <v>0</v>
          </cell>
          <cell r="G347">
            <v>0</v>
          </cell>
        </row>
        <row r="348">
          <cell r="B348" t="str">
            <v>SECTION</v>
          </cell>
          <cell r="C348">
            <v>1211118</v>
          </cell>
          <cell r="E348">
            <v>53796257.304000005</v>
          </cell>
          <cell r="G348">
            <v>68796257.304000005</v>
          </cell>
        </row>
        <row r="349">
          <cell r="B349">
            <v>1211118</v>
          </cell>
          <cell r="C349">
            <v>1</v>
          </cell>
          <cell r="E349">
            <v>25214402.039999999</v>
          </cell>
          <cell r="G349">
            <v>25214402.039999999</v>
          </cell>
        </row>
        <row r="350">
          <cell r="B350">
            <v>1211118</v>
          </cell>
          <cell r="C350">
            <v>9</v>
          </cell>
          <cell r="E350">
            <v>28581855.264000006</v>
          </cell>
          <cell r="G350">
            <v>43581855.264000006</v>
          </cell>
        </row>
        <row r="351">
          <cell r="B351" t="str">
            <v>SECTION</v>
          </cell>
          <cell r="C351">
            <v>1211119</v>
          </cell>
          <cell r="E351">
            <v>150000000.13999999</v>
          </cell>
          <cell r="G351">
            <v>166099995.13999999</v>
          </cell>
        </row>
        <row r="352">
          <cell r="B352">
            <v>1211119</v>
          </cell>
          <cell r="C352">
            <v>1</v>
          </cell>
          <cell r="E352">
            <v>110095121.03999999</v>
          </cell>
          <cell r="G352">
            <v>126195116.03999999</v>
          </cell>
        </row>
        <row r="353">
          <cell r="B353">
            <v>1211119</v>
          </cell>
          <cell r="C353">
            <v>2</v>
          </cell>
          <cell r="E353">
            <v>39904879.100000001</v>
          </cell>
          <cell r="G353">
            <v>39904879.100000001</v>
          </cell>
        </row>
        <row r="354">
          <cell r="B354">
            <v>1211119</v>
          </cell>
          <cell r="C354">
            <v>7</v>
          </cell>
          <cell r="E354">
            <v>0</v>
          </cell>
          <cell r="G354">
            <v>0</v>
          </cell>
        </row>
        <row r="355">
          <cell r="B355" t="str">
            <v>SECTION</v>
          </cell>
          <cell r="C355">
            <v>1211120</v>
          </cell>
          <cell r="E355">
            <v>0</v>
          </cell>
          <cell r="G355">
            <v>0</v>
          </cell>
        </row>
        <row r="356">
          <cell r="B356">
            <v>1211120</v>
          </cell>
          <cell r="C356">
            <v>9</v>
          </cell>
          <cell r="E356">
            <v>0</v>
          </cell>
          <cell r="G356">
            <v>0</v>
          </cell>
        </row>
        <row r="357">
          <cell r="B357" t="str">
            <v>SECTION</v>
          </cell>
          <cell r="C357">
            <v>1211121</v>
          </cell>
          <cell r="E357">
            <v>34999999.936000004</v>
          </cell>
          <cell r="G357">
            <v>34999999.936000004</v>
          </cell>
        </row>
        <row r="358">
          <cell r="B358">
            <v>1211121</v>
          </cell>
          <cell r="C358">
            <v>1</v>
          </cell>
          <cell r="E358">
            <v>19416103</v>
          </cell>
          <cell r="G358">
            <v>19416103</v>
          </cell>
        </row>
        <row r="359">
          <cell r="B359">
            <v>1211121</v>
          </cell>
          <cell r="C359">
            <v>2</v>
          </cell>
          <cell r="E359">
            <v>15583896.936000001</v>
          </cell>
          <cell r="G359">
            <v>15583896.936000001</v>
          </cell>
        </row>
        <row r="360">
          <cell r="B360">
            <v>1211121</v>
          </cell>
          <cell r="C360">
            <v>3</v>
          </cell>
          <cell r="E360">
            <v>0</v>
          </cell>
          <cell r="G360">
            <v>0</v>
          </cell>
        </row>
        <row r="361">
          <cell r="B361">
            <v>1211121</v>
          </cell>
          <cell r="C361">
            <v>4</v>
          </cell>
          <cell r="E361">
            <v>0</v>
          </cell>
          <cell r="G361">
            <v>0</v>
          </cell>
        </row>
        <row r="362">
          <cell r="B362">
            <v>1211121</v>
          </cell>
          <cell r="C362">
            <v>5</v>
          </cell>
          <cell r="E362">
            <v>0</v>
          </cell>
          <cell r="G362">
            <v>0</v>
          </cell>
        </row>
        <row r="363">
          <cell r="B363">
            <v>1211121</v>
          </cell>
          <cell r="C363">
            <v>7</v>
          </cell>
          <cell r="E363">
            <v>0</v>
          </cell>
          <cell r="G363">
            <v>0</v>
          </cell>
        </row>
        <row r="364">
          <cell r="B364">
            <v>1211121</v>
          </cell>
          <cell r="C364">
            <v>9</v>
          </cell>
          <cell r="E364">
            <v>0</v>
          </cell>
          <cell r="G364">
            <v>0</v>
          </cell>
        </row>
        <row r="365">
          <cell r="B365" t="str">
            <v>chap</v>
          </cell>
          <cell r="C365">
            <v>12112</v>
          </cell>
          <cell r="E365">
            <v>8780744757.5100002</v>
          </cell>
          <cell r="G365">
            <v>9370744673.5100002</v>
          </cell>
        </row>
        <row r="366">
          <cell r="B366" t="str">
            <v>SECTION</v>
          </cell>
          <cell r="C366">
            <v>1211216</v>
          </cell>
          <cell r="E366">
            <v>8780744757.5100002</v>
          </cell>
          <cell r="G366">
            <v>9370744673.5100002</v>
          </cell>
        </row>
        <row r="367">
          <cell r="B367">
            <v>1211216</v>
          </cell>
          <cell r="C367">
            <v>1</v>
          </cell>
          <cell r="E367">
            <v>6884084990.3000002</v>
          </cell>
          <cell r="G367">
            <v>7434084917.3000002</v>
          </cell>
        </row>
        <row r="368">
          <cell r="B368">
            <v>1211216</v>
          </cell>
          <cell r="C368">
            <v>2</v>
          </cell>
          <cell r="E368">
            <v>117995635.08000001</v>
          </cell>
          <cell r="G368">
            <v>113995064.08000001</v>
          </cell>
        </row>
        <row r="369">
          <cell r="B369">
            <v>1211216</v>
          </cell>
          <cell r="C369">
            <v>3</v>
          </cell>
          <cell r="E369">
            <v>1471367670.21</v>
          </cell>
          <cell r="G369">
            <v>1475368241.21</v>
          </cell>
        </row>
        <row r="370">
          <cell r="B370">
            <v>1211216</v>
          </cell>
          <cell r="C370">
            <v>4</v>
          </cell>
          <cell r="E370">
            <v>31999999.080000006</v>
          </cell>
          <cell r="G370">
            <v>31999999.080000006</v>
          </cell>
        </row>
        <row r="371">
          <cell r="B371">
            <v>1211216</v>
          </cell>
          <cell r="C371">
            <v>5</v>
          </cell>
          <cell r="E371">
            <v>0</v>
          </cell>
          <cell r="G371">
            <v>0</v>
          </cell>
        </row>
        <row r="372">
          <cell r="B372">
            <v>1211216</v>
          </cell>
          <cell r="C372">
            <v>7</v>
          </cell>
          <cell r="E372">
            <v>35296462.920000002</v>
          </cell>
          <cell r="G372">
            <v>35296451.920000002</v>
          </cell>
        </row>
        <row r="373">
          <cell r="B373">
            <v>1211216</v>
          </cell>
          <cell r="C373">
            <v>9</v>
          </cell>
          <cell r="E373">
            <v>239999999.91999999</v>
          </cell>
          <cell r="G373">
            <v>279999999.91999996</v>
          </cell>
        </row>
        <row r="374">
          <cell r="B374" t="str">
            <v>MIN</v>
          </cell>
          <cell r="C374">
            <v>1212</v>
          </cell>
          <cell r="E374">
            <v>99999999.954999998</v>
          </cell>
          <cell r="G374">
            <v>109999943.95499998</v>
          </cell>
        </row>
        <row r="375">
          <cell r="B375" t="str">
            <v>chap</v>
          </cell>
          <cell r="C375">
            <v>12121</v>
          </cell>
          <cell r="E375">
            <v>99999999.954999998</v>
          </cell>
          <cell r="G375">
            <v>109999943.95499998</v>
          </cell>
        </row>
        <row r="376">
          <cell r="B376" t="str">
            <v>SECTION</v>
          </cell>
          <cell r="C376">
            <v>1212111</v>
          </cell>
          <cell r="E376">
            <v>33299736.282000005</v>
          </cell>
          <cell r="G376">
            <v>37799735.281999998</v>
          </cell>
        </row>
        <row r="377">
          <cell r="B377">
            <v>1212111</v>
          </cell>
          <cell r="C377">
            <v>1</v>
          </cell>
          <cell r="E377">
            <v>14526400.120000003</v>
          </cell>
          <cell r="G377">
            <v>20526400.120000001</v>
          </cell>
        </row>
        <row r="378">
          <cell r="B378">
            <v>1212111</v>
          </cell>
          <cell r="C378">
            <v>2</v>
          </cell>
          <cell r="E378">
            <v>9236362.5399999991</v>
          </cell>
          <cell r="G378">
            <v>10336361.539999999</v>
          </cell>
        </row>
        <row r="379">
          <cell r="B379">
            <v>1212111</v>
          </cell>
          <cell r="C379">
            <v>3</v>
          </cell>
          <cell r="E379">
            <v>5599999.5</v>
          </cell>
          <cell r="G379">
            <v>1999999.5</v>
          </cell>
        </row>
        <row r="380">
          <cell r="B380">
            <v>1212111</v>
          </cell>
          <cell r="C380">
            <v>4</v>
          </cell>
          <cell r="E380">
            <v>140000</v>
          </cell>
          <cell r="G380">
            <v>3379447.92</v>
          </cell>
        </row>
        <row r="381">
          <cell r="B381">
            <v>1212111</v>
          </cell>
          <cell r="C381">
            <v>5</v>
          </cell>
          <cell r="E381">
            <v>0</v>
          </cell>
          <cell r="G381">
            <v>100000</v>
          </cell>
        </row>
        <row r="382">
          <cell r="B382">
            <v>1212111</v>
          </cell>
          <cell r="C382">
            <v>7</v>
          </cell>
          <cell r="E382">
            <v>0</v>
          </cell>
          <cell r="G382">
            <v>0</v>
          </cell>
        </row>
        <row r="383">
          <cell r="B383">
            <v>1212111</v>
          </cell>
          <cell r="C383">
            <v>9</v>
          </cell>
          <cell r="E383">
            <v>3796974.1219999995</v>
          </cell>
          <cell r="G383">
            <v>1457526.2019999996</v>
          </cell>
        </row>
        <row r="384">
          <cell r="B384" t="str">
            <v>SECTION</v>
          </cell>
          <cell r="C384">
            <v>1212112</v>
          </cell>
          <cell r="E384">
            <v>66700263.672999993</v>
          </cell>
          <cell r="G384">
            <v>72200208.672999993</v>
          </cell>
        </row>
        <row r="385">
          <cell r="B385">
            <v>1212112</v>
          </cell>
          <cell r="C385">
            <v>1</v>
          </cell>
          <cell r="E385">
            <v>53653426.439999998</v>
          </cell>
          <cell r="G385">
            <v>54653426.439999998</v>
          </cell>
        </row>
        <row r="386">
          <cell r="B386">
            <v>1212112</v>
          </cell>
          <cell r="C386">
            <v>2</v>
          </cell>
          <cell r="E386">
            <v>13046836.873</v>
          </cell>
          <cell r="G386">
            <v>5081773.8729999997</v>
          </cell>
        </row>
        <row r="387">
          <cell r="B387">
            <v>1212112</v>
          </cell>
          <cell r="C387">
            <v>3</v>
          </cell>
          <cell r="E387">
            <v>0.40999999968335032</v>
          </cell>
          <cell r="G387">
            <v>4965064.41</v>
          </cell>
        </row>
        <row r="388">
          <cell r="B388">
            <v>1212112</v>
          </cell>
          <cell r="C388">
            <v>4</v>
          </cell>
          <cell r="E388">
            <v>-0.16200000001117587</v>
          </cell>
          <cell r="G388">
            <v>7499943.8379999995</v>
          </cell>
        </row>
        <row r="389">
          <cell r="B389">
            <v>1212112</v>
          </cell>
          <cell r="C389">
            <v>5</v>
          </cell>
          <cell r="E389">
            <v>0</v>
          </cell>
          <cell r="G389">
            <v>0</v>
          </cell>
        </row>
        <row r="390">
          <cell r="B390">
            <v>1212112</v>
          </cell>
          <cell r="C390">
            <v>7</v>
          </cell>
          <cell r="E390">
            <v>0</v>
          </cell>
          <cell r="G390">
            <v>0</v>
          </cell>
        </row>
        <row r="391">
          <cell r="B391">
            <v>1212112</v>
          </cell>
          <cell r="C391">
            <v>9</v>
          </cell>
          <cell r="E391">
            <v>0.11200000066310167</v>
          </cell>
          <cell r="G391">
            <v>0.11200000066310167</v>
          </cell>
        </row>
        <row r="392">
          <cell r="B392" t="str">
            <v>MIN</v>
          </cell>
          <cell r="C392">
            <v>1213</v>
          </cell>
          <cell r="E392">
            <v>2900000000.0260959</v>
          </cell>
          <cell r="G392">
            <v>2520076022.4960961</v>
          </cell>
        </row>
        <row r="393">
          <cell r="B393" t="str">
            <v>chap</v>
          </cell>
          <cell r="C393">
            <v>12131</v>
          </cell>
          <cell r="E393">
            <v>2900000000.0260959</v>
          </cell>
          <cell r="G393">
            <v>2520076022.4960961</v>
          </cell>
        </row>
        <row r="394">
          <cell r="B394" t="str">
            <v>SECTION</v>
          </cell>
          <cell r="C394">
            <v>1213111</v>
          </cell>
          <cell r="E394">
            <v>100018865.3761</v>
          </cell>
          <cell r="G394">
            <v>124994880.3761</v>
          </cell>
        </row>
        <row r="395">
          <cell r="B395">
            <v>1213111</v>
          </cell>
          <cell r="C395">
            <v>1</v>
          </cell>
          <cell r="E395">
            <v>85852120.270000011</v>
          </cell>
          <cell r="G395">
            <v>113832266.27000001</v>
          </cell>
        </row>
        <row r="396">
          <cell r="B396">
            <v>1213111</v>
          </cell>
          <cell r="C396">
            <v>2</v>
          </cell>
          <cell r="E396">
            <v>10400029.106099999</v>
          </cell>
          <cell r="G396">
            <v>11162614.106099999</v>
          </cell>
        </row>
        <row r="397">
          <cell r="B397">
            <v>1213111</v>
          </cell>
          <cell r="C397">
            <v>3</v>
          </cell>
          <cell r="E397">
            <v>0</v>
          </cell>
          <cell r="G397">
            <v>0</v>
          </cell>
        </row>
        <row r="398">
          <cell r="B398">
            <v>1213111</v>
          </cell>
          <cell r="C398">
            <v>4</v>
          </cell>
          <cell r="E398">
            <v>0</v>
          </cell>
          <cell r="G398">
            <v>0</v>
          </cell>
        </row>
        <row r="399">
          <cell r="B399">
            <v>1213111</v>
          </cell>
          <cell r="C399">
            <v>5</v>
          </cell>
          <cell r="E399">
            <v>0</v>
          </cell>
          <cell r="G399">
            <v>0</v>
          </cell>
        </row>
        <row r="400">
          <cell r="B400">
            <v>1213111</v>
          </cell>
          <cell r="C400">
            <v>7</v>
          </cell>
          <cell r="E400">
            <v>0</v>
          </cell>
          <cell r="G400">
            <v>0</v>
          </cell>
        </row>
        <row r="401">
          <cell r="B401">
            <v>1213111</v>
          </cell>
          <cell r="C401">
            <v>9</v>
          </cell>
          <cell r="E401">
            <v>3766716</v>
          </cell>
          <cell r="G401">
            <v>0</v>
          </cell>
        </row>
        <row r="402">
          <cell r="B402" t="str">
            <v>SECTION</v>
          </cell>
          <cell r="C402">
            <v>1213112</v>
          </cell>
          <cell r="E402">
            <v>2799981134.6499958</v>
          </cell>
          <cell r="G402">
            <v>2395081142.1199961</v>
          </cell>
        </row>
        <row r="403">
          <cell r="B403">
            <v>1213112</v>
          </cell>
          <cell r="C403">
            <v>1</v>
          </cell>
          <cell r="E403">
            <v>242120281.56999594</v>
          </cell>
          <cell r="G403">
            <v>231348149.5799959</v>
          </cell>
        </row>
        <row r="404">
          <cell r="B404">
            <v>1213112</v>
          </cell>
          <cell r="C404">
            <v>2</v>
          </cell>
          <cell r="E404">
            <v>47646535.100000001</v>
          </cell>
          <cell r="G404">
            <v>56100928.930000007</v>
          </cell>
        </row>
        <row r="405">
          <cell r="B405">
            <v>1213112</v>
          </cell>
          <cell r="C405">
            <v>3</v>
          </cell>
          <cell r="E405">
            <v>18693007.210000001</v>
          </cell>
          <cell r="G405">
            <v>28925867.980000004</v>
          </cell>
        </row>
        <row r="406">
          <cell r="B406">
            <v>1213112</v>
          </cell>
          <cell r="C406">
            <v>4</v>
          </cell>
          <cell r="E406">
            <v>26093868.960000001</v>
          </cell>
          <cell r="G406">
            <v>13178753.820000004</v>
          </cell>
        </row>
        <row r="407">
          <cell r="B407">
            <v>1213112</v>
          </cell>
          <cell r="C407">
            <v>5</v>
          </cell>
          <cell r="E407">
            <v>0</v>
          </cell>
          <cell r="G407">
            <v>100000</v>
          </cell>
        </row>
        <row r="408">
          <cell r="B408">
            <v>1213112</v>
          </cell>
          <cell r="C408">
            <v>7</v>
          </cell>
          <cell r="E408">
            <v>0</v>
          </cell>
          <cell r="G408">
            <v>0</v>
          </cell>
        </row>
        <row r="409">
          <cell r="B409">
            <v>1213112</v>
          </cell>
          <cell r="C409">
            <v>9</v>
          </cell>
          <cell r="E409">
            <v>2465427441.8099999</v>
          </cell>
          <cell r="G409">
            <v>2065427441.8099999</v>
          </cell>
        </row>
        <row r="410">
          <cell r="B410" t="str">
            <v>MIN</v>
          </cell>
          <cell r="C410">
            <v>1214</v>
          </cell>
          <cell r="E410">
            <v>1204571170.4899998</v>
          </cell>
          <cell r="G410">
            <v>1613170854.4899998</v>
          </cell>
        </row>
        <row r="411">
          <cell r="B411" t="str">
            <v>chap</v>
          </cell>
          <cell r="C411">
            <v>12141</v>
          </cell>
          <cell r="E411">
            <v>1204571170.4899998</v>
          </cell>
          <cell r="G411">
            <v>1613170854.4899998</v>
          </cell>
        </row>
        <row r="412">
          <cell r="B412" t="str">
            <v>SECTION</v>
          </cell>
          <cell r="C412">
            <v>1214111</v>
          </cell>
          <cell r="E412">
            <v>245827686.28</v>
          </cell>
          <cell r="G412">
            <v>297265159.27999997</v>
          </cell>
        </row>
        <row r="413">
          <cell r="B413">
            <v>1214111</v>
          </cell>
          <cell r="C413">
            <v>1</v>
          </cell>
          <cell r="E413">
            <v>155397507.28</v>
          </cell>
          <cell r="G413">
            <v>124234983.28</v>
          </cell>
        </row>
        <row r="414">
          <cell r="B414">
            <v>1214111</v>
          </cell>
          <cell r="C414">
            <v>2</v>
          </cell>
          <cell r="E414">
            <v>0</v>
          </cell>
          <cell r="G414">
            <v>0</v>
          </cell>
        </row>
        <row r="415">
          <cell r="B415">
            <v>1214111</v>
          </cell>
          <cell r="C415">
            <v>3</v>
          </cell>
          <cell r="E415">
            <v>0</v>
          </cell>
          <cell r="G415">
            <v>0</v>
          </cell>
        </row>
        <row r="416">
          <cell r="B416">
            <v>1214111</v>
          </cell>
          <cell r="C416">
            <v>4</v>
          </cell>
          <cell r="E416">
            <v>30430179</v>
          </cell>
          <cell r="G416">
            <v>14030176</v>
          </cell>
        </row>
        <row r="417">
          <cell r="B417">
            <v>1214111</v>
          </cell>
          <cell r="C417">
            <v>5</v>
          </cell>
          <cell r="E417">
            <v>0</v>
          </cell>
          <cell r="G417">
            <v>0</v>
          </cell>
        </row>
        <row r="418">
          <cell r="B418">
            <v>1214111</v>
          </cell>
          <cell r="C418">
            <v>7</v>
          </cell>
          <cell r="E418">
            <v>0</v>
          </cell>
          <cell r="G418">
            <v>0</v>
          </cell>
        </row>
        <row r="419">
          <cell r="B419">
            <v>1214111</v>
          </cell>
          <cell r="C419">
            <v>9</v>
          </cell>
          <cell r="E419">
            <v>60000000</v>
          </cell>
          <cell r="G419">
            <v>159000000</v>
          </cell>
        </row>
        <row r="420">
          <cell r="B420" t="str">
            <v>SECTION</v>
          </cell>
          <cell r="C420">
            <v>1214112</v>
          </cell>
          <cell r="E420">
            <v>371630999.13</v>
          </cell>
          <cell r="G420">
            <v>531342957.13</v>
          </cell>
        </row>
        <row r="421">
          <cell r="B421">
            <v>1214112</v>
          </cell>
          <cell r="C421">
            <v>1</v>
          </cell>
          <cell r="E421">
            <v>108547343.36000001</v>
          </cell>
          <cell r="G421">
            <v>136259481.36000001</v>
          </cell>
        </row>
        <row r="422">
          <cell r="B422">
            <v>1214112</v>
          </cell>
          <cell r="C422">
            <v>2</v>
          </cell>
          <cell r="E422">
            <v>97892743.530000001</v>
          </cell>
          <cell r="G422">
            <v>190842572.53</v>
          </cell>
        </row>
        <row r="423">
          <cell r="B423">
            <v>1214112</v>
          </cell>
          <cell r="C423">
            <v>3</v>
          </cell>
          <cell r="E423">
            <v>111749987.25</v>
          </cell>
          <cell r="G423">
            <v>100800017.25</v>
          </cell>
        </row>
        <row r="424">
          <cell r="B424">
            <v>1214112</v>
          </cell>
          <cell r="C424">
            <v>4</v>
          </cell>
          <cell r="E424">
            <v>25424482.010000002</v>
          </cell>
          <cell r="G424">
            <v>14424448.010000002</v>
          </cell>
        </row>
        <row r="425">
          <cell r="B425">
            <v>1214112</v>
          </cell>
          <cell r="C425">
            <v>5</v>
          </cell>
          <cell r="E425">
            <v>0</v>
          </cell>
          <cell r="G425">
            <v>1000000</v>
          </cell>
        </row>
        <row r="426">
          <cell r="B426">
            <v>1214112</v>
          </cell>
          <cell r="C426">
            <v>7</v>
          </cell>
          <cell r="E426">
            <v>2000054</v>
          </cell>
          <cell r="G426">
            <v>2000054</v>
          </cell>
        </row>
        <row r="427">
          <cell r="B427">
            <v>1214112</v>
          </cell>
          <cell r="C427">
            <v>9</v>
          </cell>
          <cell r="E427">
            <v>26016388.979999997</v>
          </cell>
          <cell r="G427">
            <v>86016383.979999989</v>
          </cell>
        </row>
        <row r="428">
          <cell r="B428" t="str">
            <v>SECTION</v>
          </cell>
          <cell r="C428">
            <v>1214113</v>
          </cell>
          <cell r="E428">
            <v>510512485.07999992</v>
          </cell>
          <cell r="G428">
            <v>662962738.07999992</v>
          </cell>
        </row>
        <row r="429">
          <cell r="B429">
            <v>1214113</v>
          </cell>
          <cell r="C429">
            <v>1</v>
          </cell>
          <cell r="E429">
            <v>266024619.35999995</v>
          </cell>
          <cell r="G429">
            <v>335474898.35999995</v>
          </cell>
        </row>
        <row r="430">
          <cell r="B430">
            <v>1214113</v>
          </cell>
          <cell r="C430">
            <v>2</v>
          </cell>
          <cell r="E430">
            <v>0</v>
          </cell>
          <cell r="G430">
            <v>0</v>
          </cell>
        </row>
        <row r="431">
          <cell r="B431">
            <v>1214113</v>
          </cell>
          <cell r="C431">
            <v>3</v>
          </cell>
          <cell r="E431">
            <v>95327865.239999995</v>
          </cell>
          <cell r="G431">
            <v>181327865.23999998</v>
          </cell>
        </row>
        <row r="432">
          <cell r="B432">
            <v>1214113</v>
          </cell>
          <cell r="C432">
            <v>4</v>
          </cell>
          <cell r="E432">
            <v>0</v>
          </cell>
          <cell r="G432">
            <v>0</v>
          </cell>
        </row>
        <row r="433">
          <cell r="B433">
            <v>1214113</v>
          </cell>
          <cell r="C433">
            <v>5</v>
          </cell>
          <cell r="E433">
            <v>0</v>
          </cell>
          <cell r="G433">
            <v>0</v>
          </cell>
        </row>
        <row r="434">
          <cell r="B434">
            <v>1214113</v>
          </cell>
          <cell r="C434">
            <v>7</v>
          </cell>
          <cell r="E434">
            <v>2160000</v>
          </cell>
          <cell r="G434">
            <v>2159794</v>
          </cell>
        </row>
        <row r="435">
          <cell r="B435">
            <v>1214113</v>
          </cell>
          <cell r="C435">
            <v>9</v>
          </cell>
          <cell r="E435">
            <v>147000000.47999999</v>
          </cell>
          <cell r="G435">
            <v>144000180.47999999</v>
          </cell>
        </row>
        <row r="436">
          <cell r="B436" t="str">
            <v>SECTION</v>
          </cell>
          <cell r="C436">
            <v>1214114</v>
          </cell>
          <cell r="E436">
            <v>76600000</v>
          </cell>
          <cell r="G436">
            <v>121600000</v>
          </cell>
        </row>
        <row r="437">
          <cell r="B437">
            <v>1214114</v>
          </cell>
          <cell r="C437">
            <v>9</v>
          </cell>
          <cell r="E437">
            <v>76600000</v>
          </cell>
          <cell r="G437">
            <v>121600000</v>
          </cell>
        </row>
        <row r="438">
          <cell r="B438" t="str">
            <v>MIN</v>
          </cell>
          <cell r="C438">
            <v>1215</v>
          </cell>
          <cell r="E438">
            <v>1718688094.299</v>
          </cell>
          <cell r="G438">
            <v>2062328186.299</v>
          </cell>
        </row>
        <row r="439">
          <cell r="B439" t="str">
            <v>chap</v>
          </cell>
          <cell r="C439">
            <v>12151</v>
          </cell>
          <cell r="E439">
            <v>1662709777.8610001</v>
          </cell>
          <cell r="G439">
            <v>2000392706.8610001</v>
          </cell>
        </row>
        <row r="440">
          <cell r="B440" t="str">
            <v>SECTION</v>
          </cell>
          <cell r="C440">
            <v>1215111</v>
          </cell>
          <cell r="E440">
            <v>330628452.75999993</v>
          </cell>
          <cell r="G440">
            <v>627001560.75999999</v>
          </cell>
        </row>
        <row r="441">
          <cell r="B441">
            <v>1215111</v>
          </cell>
          <cell r="C441">
            <v>1</v>
          </cell>
          <cell r="E441">
            <v>273145119.29999995</v>
          </cell>
          <cell r="G441">
            <v>323518263.29999995</v>
          </cell>
        </row>
        <row r="442">
          <cell r="B442">
            <v>1215111</v>
          </cell>
          <cell r="C442">
            <v>2</v>
          </cell>
          <cell r="E442">
            <v>15962843.699999988</v>
          </cell>
          <cell r="G442">
            <v>20962835.699999988</v>
          </cell>
        </row>
        <row r="443">
          <cell r="B443">
            <v>1215111</v>
          </cell>
          <cell r="C443">
            <v>3</v>
          </cell>
          <cell r="E443">
            <v>33229241.519999996</v>
          </cell>
          <cell r="G443">
            <v>33229241.519999996</v>
          </cell>
        </row>
        <row r="444">
          <cell r="B444">
            <v>1215111</v>
          </cell>
          <cell r="C444">
            <v>4</v>
          </cell>
          <cell r="E444">
            <v>8291248.2400000002</v>
          </cell>
          <cell r="G444">
            <v>9291220.2400000002</v>
          </cell>
        </row>
        <row r="445">
          <cell r="B445">
            <v>1215111</v>
          </cell>
          <cell r="C445">
            <v>5</v>
          </cell>
          <cell r="E445">
            <v>0</v>
          </cell>
          <cell r="G445">
            <v>0</v>
          </cell>
        </row>
        <row r="446">
          <cell r="B446">
            <v>1215111</v>
          </cell>
          <cell r="C446">
            <v>7</v>
          </cell>
          <cell r="E446">
            <v>0</v>
          </cell>
          <cell r="G446">
            <v>0</v>
          </cell>
        </row>
        <row r="447">
          <cell r="B447">
            <v>1215111</v>
          </cell>
          <cell r="C447">
            <v>9</v>
          </cell>
          <cell r="E447">
            <v>0</v>
          </cell>
          <cell r="G447">
            <v>240000000</v>
          </cell>
        </row>
        <row r="448">
          <cell r="B448" t="str">
            <v>SECTION</v>
          </cell>
          <cell r="C448">
            <v>1215112</v>
          </cell>
          <cell r="E448">
            <v>934969575.16100001</v>
          </cell>
          <cell r="G448">
            <v>958843869.16100001</v>
          </cell>
        </row>
        <row r="449">
          <cell r="B449">
            <v>1215112</v>
          </cell>
          <cell r="C449">
            <v>1</v>
          </cell>
          <cell r="E449">
            <v>195838750.63999999</v>
          </cell>
          <cell r="G449">
            <v>145086209.63999999</v>
          </cell>
        </row>
        <row r="450">
          <cell r="B450">
            <v>1215112</v>
          </cell>
          <cell r="C450">
            <v>2</v>
          </cell>
          <cell r="E450">
            <v>174872480.34500003</v>
          </cell>
          <cell r="G450">
            <v>166482173.34500003</v>
          </cell>
        </row>
        <row r="451">
          <cell r="B451">
            <v>1215112</v>
          </cell>
          <cell r="C451">
            <v>3</v>
          </cell>
          <cell r="E451">
            <v>40105235.526000001</v>
          </cell>
          <cell r="G451">
            <v>57505388.526000001</v>
          </cell>
        </row>
        <row r="452">
          <cell r="B452">
            <v>1215112</v>
          </cell>
          <cell r="C452">
            <v>4</v>
          </cell>
          <cell r="E452">
            <v>47909057.676999994</v>
          </cell>
          <cell r="G452">
            <v>26908991.677000001</v>
          </cell>
        </row>
        <row r="453">
          <cell r="B453">
            <v>1215112</v>
          </cell>
          <cell r="C453">
            <v>5</v>
          </cell>
          <cell r="E453">
            <v>0</v>
          </cell>
          <cell r="G453">
            <v>0</v>
          </cell>
        </row>
        <row r="454">
          <cell r="B454">
            <v>1215112</v>
          </cell>
          <cell r="C454">
            <v>7</v>
          </cell>
          <cell r="E454">
            <v>73416672.866999999</v>
          </cell>
          <cell r="G454">
            <v>50416631.866999999</v>
          </cell>
        </row>
        <row r="455">
          <cell r="B455">
            <v>1215112</v>
          </cell>
          <cell r="C455">
            <v>9</v>
          </cell>
          <cell r="E455">
            <v>402827378.10600001</v>
          </cell>
          <cell r="G455">
            <v>512444474.10600001</v>
          </cell>
        </row>
        <row r="456">
          <cell r="B456" t="str">
            <v>SECTION</v>
          </cell>
          <cell r="C456">
            <v>1215113</v>
          </cell>
          <cell r="E456">
            <v>52028538.881999999</v>
          </cell>
          <cell r="G456">
            <v>52028538.881999999</v>
          </cell>
        </row>
        <row r="457">
          <cell r="B457">
            <v>1215113</v>
          </cell>
          <cell r="C457">
            <v>9</v>
          </cell>
          <cell r="E457">
            <v>52028538.881999999</v>
          </cell>
          <cell r="G457">
            <v>52028538.881999999</v>
          </cell>
        </row>
        <row r="458">
          <cell r="B458" t="str">
            <v>SECTION</v>
          </cell>
          <cell r="C458">
            <v>1215116</v>
          </cell>
          <cell r="E458">
            <v>41424733.459999993</v>
          </cell>
          <cell r="G458">
            <v>44000000.459999993</v>
          </cell>
        </row>
        <row r="459">
          <cell r="B459">
            <v>1215116</v>
          </cell>
          <cell r="C459">
            <v>1</v>
          </cell>
          <cell r="E459">
            <v>29562366.459999997</v>
          </cell>
          <cell r="G459">
            <v>31000000.459999997</v>
          </cell>
        </row>
        <row r="460">
          <cell r="B460">
            <v>1215116</v>
          </cell>
          <cell r="C460">
            <v>2</v>
          </cell>
          <cell r="E460">
            <v>11862367</v>
          </cell>
          <cell r="G460">
            <v>13000000</v>
          </cell>
        </row>
        <row r="461">
          <cell r="B461">
            <v>1215116</v>
          </cell>
          <cell r="C461">
            <v>7</v>
          </cell>
          <cell r="E461">
            <v>0</v>
          </cell>
          <cell r="G461">
            <v>0</v>
          </cell>
        </row>
        <row r="462">
          <cell r="B462" t="str">
            <v>SECTION</v>
          </cell>
          <cell r="C462">
            <v>1215117</v>
          </cell>
          <cell r="E462">
            <v>35551292.956</v>
          </cell>
          <cell r="G462">
            <v>40551292.956</v>
          </cell>
        </row>
        <row r="463">
          <cell r="B463">
            <v>1215117</v>
          </cell>
          <cell r="C463">
            <v>1</v>
          </cell>
          <cell r="E463">
            <v>26499999.919999998</v>
          </cell>
          <cell r="G463">
            <v>30699999.919999998</v>
          </cell>
        </row>
        <row r="464">
          <cell r="B464">
            <v>1215117</v>
          </cell>
          <cell r="C464">
            <v>2</v>
          </cell>
          <cell r="E464">
            <v>9051293.0360000003</v>
          </cell>
          <cell r="G464">
            <v>9851293.0360000003</v>
          </cell>
        </row>
        <row r="465">
          <cell r="B465">
            <v>1215117</v>
          </cell>
          <cell r="C465">
            <v>7</v>
          </cell>
          <cell r="E465">
            <v>0</v>
          </cell>
          <cell r="G465">
            <v>0</v>
          </cell>
        </row>
        <row r="466">
          <cell r="B466" t="str">
            <v>SECTION</v>
          </cell>
          <cell r="C466">
            <v>1215118</v>
          </cell>
          <cell r="E466">
            <v>60053972</v>
          </cell>
          <cell r="G466">
            <v>63053965</v>
          </cell>
        </row>
        <row r="467">
          <cell r="B467">
            <v>1215118</v>
          </cell>
          <cell r="C467">
            <v>1</v>
          </cell>
          <cell r="E467">
            <v>43467343</v>
          </cell>
          <cell r="G467">
            <v>43467336</v>
          </cell>
        </row>
        <row r="468">
          <cell r="B468">
            <v>1215118</v>
          </cell>
          <cell r="C468">
            <v>2</v>
          </cell>
          <cell r="E468">
            <v>16586629</v>
          </cell>
          <cell r="G468">
            <v>19586629</v>
          </cell>
        </row>
        <row r="469">
          <cell r="B469">
            <v>1215118</v>
          </cell>
          <cell r="C469">
            <v>7</v>
          </cell>
          <cell r="E469">
            <v>0</v>
          </cell>
          <cell r="G469">
            <v>0</v>
          </cell>
        </row>
        <row r="470">
          <cell r="B470" t="str">
            <v>SECTION</v>
          </cell>
          <cell r="C470">
            <v>1215119</v>
          </cell>
          <cell r="E470">
            <v>110000000.038</v>
          </cell>
          <cell r="G470">
            <v>115481769.038</v>
          </cell>
        </row>
        <row r="471">
          <cell r="B471">
            <v>1215119</v>
          </cell>
          <cell r="C471">
            <v>1</v>
          </cell>
          <cell r="E471">
            <v>77000000</v>
          </cell>
          <cell r="G471">
            <v>77481769</v>
          </cell>
        </row>
        <row r="472">
          <cell r="B472">
            <v>1215119</v>
          </cell>
          <cell r="C472">
            <v>2</v>
          </cell>
          <cell r="E472">
            <v>33000000.038000003</v>
          </cell>
          <cell r="G472">
            <v>38000000.038000003</v>
          </cell>
        </row>
        <row r="473">
          <cell r="B473">
            <v>1215119</v>
          </cell>
          <cell r="C473">
            <v>7</v>
          </cell>
          <cell r="E473">
            <v>0</v>
          </cell>
          <cell r="G473">
            <v>0</v>
          </cell>
        </row>
        <row r="474">
          <cell r="B474" t="str">
            <v>SECTION</v>
          </cell>
          <cell r="C474">
            <v>1215121</v>
          </cell>
          <cell r="E474">
            <v>52200000</v>
          </cell>
          <cell r="G474">
            <v>52200000</v>
          </cell>
        </row>
        <row r="475">
          <cell r="B475">
            <v>1215121</v>
          </cell>
          <cell r="C475">
            <v>1</v>
          </cell>
          <cell r="E475">
            <v>0</v>
          </cell>
          <cell r="G475">
            <v>0</v>
          </cell>
        </row>
        <row r="476">
          <cell r="B476">
            <v>1215121</v>
          </cell>
          <cell r="C476">
            <v>2</v>
          </cell>
          <cell r="E476">
            <v>52200000</v>
          </cell>
          <cell r="G476">
            <v>52200000</v>
          </cell>
        </row>
        <row r="477">
          <cell r="B477">
            <v>1215121</v>
          </cell>
          <cell r="C477">
            <v>7</v>
          </cell>
          <cell r="E477">
            <v>0</v>
          </cell>
          <cell r="G477">
            <v>0</v>
          </cell>
        </row>
        <row r="478">
          <cell r="B478" t="str">
            <v>SECTION</v>
          </cell>
          <cell r="C478">
            <v>1215122</v>
          </cell>
          <cell r="E478">
            <v>28621512.039999999</v>
          </cell>
          <cell r="G478">
            <v>30000010.040000003</v>
          </cell>
        </row>
        <row r="479">
          <cell r="B479">
            <v>1215122</v>
          </cell>
          <cell r="C479">
            <v>1</v>
          </cell>
          <cell r="E479">
            <v>18831072</v>
          </cell>
          <cell r="G479">
            <v>27000010.000000004</v>
          </cell>
        </row>
        <row r="480">
          <cell r="B480">
            <v>1215122</v>
          </cell>
          <cell r="C480">
            <v>2</v>
          </cell>
          <cell r="E480">
            <v>9790440.0399999991</v>
          </cell>
          <cell r="G480">
            <v>3000000.0399999991</v>
          </cell>
        </row>
        <row r="481">
          <cell r="B481">
            <v>1215122</v>
          </cell>
          <cell r="C481">
            <v>7</v>
          </cell>
          <cell r="E481">
            <v>0</v>
          </cell>
          <cell r="G481">
            <v>0</v>
          </cell>
        </row>
        <row r="482">
          <cell r="B482" t="str">
            <v>SECTION</v>
          </cell>
          <cell r="C482">
            <v>1215123</v>
          </cell>
          <cell r="E482">
            <v>17231700.563999999</v>
          </cell>
          <cell r="G482">
            <v>17231700.563999999</v>
          </cell>
        </row>
        <row r="483">
          <cell r="B483">
            <v>1215123</v>
          </cell>
          <cell r="C483">
            <v>7</v>
          </cell>
          <cell r="E483">
            <v>17231700.563999999</v>
          </cell>
          <cell r="G483">
            <v>17231700.563999999</v>
          </cell>
        </row>
        <row r="484">
          <cell r="B484" t="str">
            <v>chap</v>
          </cell>
          <cell r="C484">
            <v>12152</v>
          </cell>
          <cell r="E484">
            <v>55978316.438000001</v>
          </cell>
          <cell r="G484">
            <v>61935479.438000001</v>
          </cell>
        </row>
        <row r="485">
          <cell r="B485" t="str">
            <v>SECTION</v>
          </cell>
          <cell r="C485">
            <v>1215214</v>
          </cell>
          <cell r="E485">
            <v>29912953.438000001</v>
          </cell>
          <cell r="G485">
            <v>33870116.438000001</v>
          </cell>
        </row>
        <row r="486">
          <cell r="B486">
            <v>1215214</v>
          </cell>
          <cell r="C486">
            <v>1</v>
          </cell>
          <cell r="E486">
            <v>11806630.08</v>
          </cell>
          <cell r="G486">
            <v>13977956.08</v>
          </cell>
        </row>
        <row r="487">
          <cell r="B487">
            <v>1215214</v>
          </cell>
          <cell r="C487">
            <v>2</v>
          </cell>
          <cell r="E487">
            <v>18106323.358000003</v>
          </cell>
          <cell r="G487">
            <v>19892160.358000003</v>
          </cell>
        </row>
        <row r="488">
          <cell r="B488">
            <v>1215214</v>
          </cell>
          <cell r="C488">
            <v>3</v>
          </cell>
          <cell r="E488">
            <v>0</v>
          </cell>
          <cell r="G488">
            <v>0</v>
          </cell>
        </row>
        <row r="489">
          <cell r="B489">
            <v>1215214</v>
          </cell>
          <cell r="C489">
            <v>4</v>
          </cell>
          <cell r="E489">
            <v>0</v>
          </cell>
          <cell r="G489">
            <v>0</v>
          </cell>
        </row>
        <row r="490">
          <cell r="B490">
            <v>1215214</v>
          </cell>
          <cell r="C490">
            <v>5</v>
          </cell>
          <cell r="E490">
            <v>0</v>
          </cell>
          <cell r="G490">
            <v>0</v>
          </cell>
        </row>
        <row r="491">
          <cell r="B491">
            <v>1215214</v>
          </cell>
          <cell r="C491">
            <v>7</v>
          </cell>
          <cell r="E491">
            <v>0</v>
          </cell>
          <cell r="G491">
            <v>0</v>
          </cell>
        </row>
        <row r="492">
          <cell r="B492">
            <v>1215214</v>
          </cell>
          <cell r="C492">
            <v>9</v>
          </cell>
          <cell r="E492">
            <v>0</v>
          </cell>
          <cell r="G492">
            <v>0</v>
          </cell>
        </row>
        <row r="493">
          <cell r="B493" t="str">
            <v>SECTION</v>
          </cell>
          <cell r="C493">
            <v>1215220</v>
          </cell>
          <cell r="E493">
            <v>26065363</v>
          </cell>
          <cell r="G493">
            <v>28065363</v>
          </cell>
        </row>
        <row r="494">
          <cell r="B494">
            <v>1215220</v>
          </cell>
          <cell r="C494">
            <v>1</v>
          </cell>
          <cell r="E494">
            <v>16467899.990000002</v>
          </cell>
          <cell r="G494">
            <v>18495619.990000002</v>
          </cell>
        </row>
        <row r="495">
          <cell r="B495">
            <v>1215220</v>
          </cell>
          <cell r="C495">
            <v>2</v>
          </cell>
          <cell r="E495">
            <v>9597463.0099999998</v>
          </cell>
          <cell r="G495">
            <v>9569743.0099999998</v>
          </cell>
        </row>
        <row r="496">
          <cell r="B496">
            <v>1215220</v>
          </cell>
          <cell r="C496">
            <v>7</v>
          </cell>
          <cell r="E496">
            <v>0</v>
          </cell>
          <cell r="G496">
            <v>0</v>
          </cell>
        </row>
        <row r="497">
          <cell r="B497" t="str">
            <v>MIN</v>
          </cell>
          <cell r="C497">
            <v>1216</v>
          </cell>
          <cell r="E497">
            <v>1576830803.349</v>
          </cell>
          <cell r="G497">
            <v>1845830671.349</v>
          </cell>
        </row>
        <row r="498">
          <cell r="B498" t="str">
            <v>chap</v>
          </cell>
          <cell r="C498">
            <v>12161</v>
          </cell>
          <cell r="E498">
            <v>1576830803.349</v>
          </cell>
          <cell r="G498">
            <v>1845830671.349</v>
          </cell>
        </row>
        <row r="499">
          <cell r="B499" t="str">
            <v>SECTION</v>
          </cell>
          <cell r="C499">
            <v>1216111</v>
          </cell>
          <cell r="E499">
            <v>97369775.335999995</v>
          </cell>
          <cell r="G499">
            <v>168632314.33600003</v>
          </cell>
        </row>
        <row r="500">
          <cell r="B500">
            <v>1216111</v>
          </cell>
          <cell r="C500">
            <v>1</v>
          </cell>
          <cell r="E500">
            <v>49258609.780000001</v>
          </cell>
          <cell r="G500">
            <v>49258609.780000001</v>
          </cell>
        </row>
        <row r="501">
          <cell r="B501">
            <v>1216111</v>
          </cell>
          <cell r="C501">
            <v>2</v>
          </cell>
          <cell r="E501">
            <v>4566259.8800000008</v>
          </cell>
          <cell r="G501">
            <v>4566259.8800000008</v>
          </cell>
        </row>
        <row r="502">
          <cell r="B502">
            <v>1216111</v>
          </cell>
          <cell r="C502">
            <v>3</v>
          </cell>
          <cell r="E502">
            <v>4963000.9859999996</v>
          </cell>
          <cell r="G502">
            <v>4963000.9859999996</v>
          </cell>
        </row>
        <row r="503">
          <cell r="B503">
            <v>1216111</v>
          </cell>
          <cell r="C503">
            <v>4</v>
          </cell>
          <cell r="E503">
            <v>20844464.010000002</v>
          </cell>
          <cell r="G503">
            <v>20844459.010000002</v>
          </cell>
        </row>
        <row r="504">
          <cell r="B504">
            <v>1216111</v>
          </cell>
          <cell r="C504">
            <v>5</v>
          </cell>
          <cell r="E504">
            <v>0</v>
          </cell>
          <cell r="G504">
            <v>0</v>
          </cell>
        </row>
        <row r="505">
          <cell r="B505">
            <v>1216111</v>
          </cell>
          <cell r="C505">
            <v>7</v>
          </cell>
          <cell r="E505">
            <v>5000000</v>
          </cell>
          <cell r="G505">
            <v>4999984</v>
          </cell>
        </row>
        <row r="506">
          <cell r="B506">
            <v>1216111</v>
          </cell>
          <cell r="C506">
            <v>9</v>
          </cell>
          <cell r="E506">
            <v>12737440.68</v>
          </cell>
          <cell r="G506">
            <v>84000000.680000007</v>
          </cell>
        </row>
        <row r="507">
          <cell r="B507" t="str">
            <v>SECTION</v>
          </cell>
          <cell r="C507">
            <v>1216112</v>
          </cell>
          <cell r="E507">
            <v>1021367194.733</v>
          </cell>
          <cell r="G507">
            <v>1194104533.733</v>
          </cell>
        </row>
        <row r="508">
          <cell r="B508">
            <v>1216112</v>
          </cell>
          <cell r="C508">
            <v>1</v>
          </cell>
          <cell r="E508">
            <v>493183797.44</v>
          </cell>
          <cell r="G508">
            <v>493183797.44</v>
          </cell>
        </row>
        <row r="509">
          <cell r="B509">
            <v>1216112</v>
          </cell>
          <cell r="C509">
            <v>2</v>
          </cell>
          <cell r="E509">
            <v>182735494.64499998</v>
          </cell>
          <cell r="G509">
            <v>159442414.64499998</v>
          </cell>
        </row>
        <row r="510">
          <cell r="B510">
            <v>1216112</v>
          </cell>
          <cell r="C510">
            <v>3</v>
          </cell>
          <cell r="E510">
            <v>50959579.509999998</v>
          </cell>
          <cell r="G510">
            <v>103894853.50999999</v>
          </cell>
        </row>
        <row r="511">
          <cell r="B511">
            <v>1216112</v>
          </cell>
          <cell r="C511">
            <v>4</v>
          </cell>
          <cell r="E511">
            <v>57476865.789000005</v>
          </cell>
          <cell r="G511">
            <v>30520420.789000001</v>
          </cell>
        </row>
        <row r="512">
          <cell r="B512">
            <v>1216112</v>
          </cell>
          <cell r="C512">
            <v>5</v>
          </cell>
          <cell r="E512">
            <v>3043600</v>
          </cell>
          <cell r="G512">
            <v>45</v>
          </cell>
        </row>
        <row r="513">
          <cell r="B513">
            <v>1216112</v>
          </cell>
          <cell r="C513">
            <v>7</v>
          </cell>
          <cell r="E513">
            <v>3500000</v>
          </cell>
          <cell r="G513">
            <v>3500000</v>
          </cell>
        </row>
        <row r="514">
          <cell r="B514">
            <v>1216112</v>
          </cell>
          <cell r="C514">
            <v>9</v>
          </cell>
          <cell r="E514">
            <v>230467857.34899998</v>
          </cell>
          <cell r="G514">
            <v>403563002.34899998</v>
          </cell>
        </row>
        <row r="515">
          <cell r="B515" t="str">
            <v>SECTION</v>
          </cell>
          <cell r="C515">
            <v>1216115</v>
          </cell>
          <cell r="E515">
            <v>8093833.0199999996</v>
          </cell>
          <cell r="G515">
            <v>8093833.0199999996</v>
          </cell>
        </row>
        <row r="516">
          <cell r="B516">
            <v>1216115</v>
          </cell>
          <cell r="C516">
            <v>1</v>
          </cell>
          <cell r="E516">
            <v>6907809.959999999</v>
          </cell>
          <cell r="G516">
            <v>6907809.959999999</v>
          </cell>
        </row>
        <row r="517">
          <cell r="B517">
            <v>1216115</v>
          </cell>
          <cell r="C517">
            <v>2</v>
          </cell>
          <cell r="E517">
            <v>1186023.06</v>
          </cell>
          <cell r="G517">
            <v>1186023.06</v>
          </cell>
        </row>
        <row r="518">
          <cell r="B518">
            <v>1216115</v>
          </cell>
          <cell r="C518">
            <v>7</v>
          </cell>
          <cell r="E518">
            <v>0</v>
          </cell>
          <cell r="G518">
            <v>0</v>
          </cell>
        </row>
        <row r="519">
          <cell r="B519" t="str">
            <v>SECTION</v>
          </cell>
          <cell r="C519">
            <v>1216117</v>
          </cell>
          <cell r="E519">
            <v>450000000.25999999</v>
          </cell>
          <cell r="G519">
            <v>474999990.25999999</v>
          </cell>
        </row>
        <row r="520">
          <cell r="B520">
            <v>1216117</v>
          </cell>
          <cell r="C520">
            <v>1</v>
          </cell>
          <cell r="E520">
            <v>203537422.39999998</v>
          </cell>
          <cell r="G520">
            <v>261932507.39999998</v>
          </cell>
        </row>
        <row r="521">
          <cell r="B521">
            <v>1216117</v>
          </cell>
          <cell r="C521">
            <v>2</v>
          </cell>
          <cell r="E521">
            <v>246462577.86000001</v>
          </cell>
          <cell r="G521">
            <v>213067482.86000001</v>
          </cell>
        </row>
        <row r="522">
          <cell r="B522">
            <v>1216117</v>
          </cell>
          <cell r="C522">
            <v>7</v>
          </cell>
          <cell r="E522">
            <v>0</v>
          </cell>
          <cell r="G522">
            <v>0</v>
          </cell>
        </row>
        <row r="523">
          <cell r="B523" t="str">
            <v>MIN</v>
          </cell>
          <cell r="C523">
            <v>1217</v>
          </cell>
          <cell r="E523">
            <v>430558642.93000001</v>
          </cell>
          <cell r="G523">
            <v>479464985.04999995</v>
          </cell>
        </row>
        <row r="524">
          <cell r="B524" t="str">
            <v>chap</v>
          </cell>
          <cell r="C524">
            <v>12171</v>
          </cell>
          <cell r="E524">
            <v>430558642.93000001</v>
          </cell>
          <cell r="G524">
            <v>479464985.04999995</v>
          </cell>
        </row>
        <row r="525">
          <cell r="B525" t="str">
            <v>SECTION</v>
          </cell>
          <cell r="C525">
            <v>1217111</v>
          </cell>
          <cell r="E525">
            <v>166708926.97000003</v>
          </cell>
          <cell r="G525">
            <v>142351211.01000002</v>
          </cell>
        </row>
        <row r="526">
          <cell r="B526">
            <v>1217111</v>
          </cell>
          <cell r="C526">
            <v>1</v>
          </cell>
          <cell r="E526">
            <v>77826100</v>
          </cell>
          <cell r="G526">
            <v>77826100</v>
          </cell>
        </row>
        <row r="527">
          <cell r="B527">
            <v>1217111</v>
          </cell>
          <cell r="C527">
            <v>2</v>
          </cell>
          <cell r="E527">
            <v>14999007</v>
          </cell>
          <cell r="G527">
            <v>14999007</v>
          </cell>
        </row>
        <row r="528">
          <cell r="B528">
            <v>1217111</v>
          </cell>
          <cell r="C528">
            <v>3</v>
          </cell>
          <cell r="E528">
            <v>4993572</v>
          </cell>
          <cell r="G528">
            <v>4993572</v>
          </cell>
        </row>
        <row r="529">
          <cell r="B529">
            <v>1217111</v>
          </cell>
          <cell r="C529">
            <v>4</v>
          </cell>
          <cell r="E529">
            <v>0</v>
          </cell>
          <cell r="G529">
            <v>0</v>
          </cell>
        </row>
        <row r="530">
          <cell r="B530">
            <v>1217111</v>
          </cell>
          <cell r="C530">
            <v>5</v>
          </cell>
          <cell r="E530">
            <v>0</v>
          </cell>
          <cell r="G530">
            <v>0</v>
          </cell>
        </row>
        <row r="531">
          <cell r="B531">
            <v>1217111</v>
          </cell>
          <cell r="C531">
            <v>7</v>
          </cell>
          <cell r="E531">
            <v>49390247.920000002</v>
          </cell>
          <cell r="G531">
            <v>35032531.960000001</v>
          </cell>
        </row>
        <row r="532">
          <cell r="B532">
            <v>1217111</v>
          </cell>
          <cell r="C532">
            <v>9</v>
          </cell>
          <cell r="E532">
            <v>19500000.050000001</v>
          </cell>
          <cell r="G532">
            <v>9500000.0500000007</v>
          </cell>
        </row>
        <row r="533">
          <cell r="B533" t="str">
            <v>SECTION</v>
          </cell>
          <cell r="C533">
            <v>1217112</v>
          </cell>
          <cell r="E533">
            <v>263849715.95999998</v>
          </cell>
          <cell r="G533">
            <v>337113774.03999996</v>
          </cell>
        </row>
        <row r="534">
          <cell r="B534">
            <v>1217112</v>
          </cell>
          <cell r="C534">
            <v>1</v>
          </cell>
          <cell r="E534">
            <v>97300455.959999993</v>
          </cell>
          <cell r="G534">
            <v>112606155.95999998</v>
          </cell>
        </row>
        <row r="535">
          <cell r="B535">
            <v>1217112</v>
          </cell>
          <cell r="C535">
            <v>2</v>
          </cell>
          <cell r="E535">
            <v>15332772</v>
          </cell>
          <cell r="G535">
            <v>10332772</v>
          </cell>
        </row>
        <row r="536">
          <cell r="B536">
            <v>1217112</v>
          </cell>
          <cell r="C536">
            <v>3</v>
          </cell>
          <cell r="E536">
            <v>11953368</v>
          </cell>
          <cell r="G536">
            <v>11953368</v>
          </cell>
        </row>
        <row r="537">
          <cell r="B537">
            <v>1217112</v>
          </cell>
          <cell r="C537">
            <v>4</v>
          </cell>
          <cell r="E537">
            <v>20421983.999999996</v>
          </cell>
          <cell r="G537">
            <v>25421983.999999996</v>
          </cell>
        </row>
        <row r="538">
          <cell r="B538">
            <v>1217112</v>
          </cell>
          <cell r="C538">
            <v>5</v>
          </cell>
          <cell r="E538">
            <v>257999.99999999997</v>
          </cell>
          <cell r="G538">
            <v>858538</v>
          </cell>
        </row>
        <row r="539">
          <cell r="B539">
            <v>1217112</v>
          </cell>
          <cell r="C539">
            <v>7</v>
          </cell>
          <cell r="E539">
            <v>609648</v>
          </cell>
          <cell r="G539">
            <v>9967468.0800000001</v>
          </cell>
        </row>
        <row r="540">
          <cell r="B540">
            <v>1217112</v>
          </cell>
          <cell r="C540">
            <v>9</v>
          </cell>
          <cell r="E540">
            <v>117973488</v>
          </cell>
          <cell r="G540">
            <v>165973488</v>
          </cell>
        </row>
        <row r="541">
          <cell r="B541" t="str">
            <v>SECTION</v>
          </cell>
          <cell r="C541">
            <v>1217113</v>
          </cell>
          <cell r="E541">
            <v>0</v>
          </cell>
          <cell r="G541">
            <v>0</v>
          </cell>
        </row>
        <row r="542">
          <cell r="B542">
            <v>1217113</v>
          </cell>
          <cell r="C542">
            <v>1</v>
          </cell>
          <cell r="E542">
            <v>0</v>
          </cell>
          <cell r="G542">
            <v>0</v>
          </cell>
        </row>
        <row r="543">
          <cell r="B543">
            <v>1217113</v>
          </cell>
          <cell r="C543">
            <v>2</v>
          </cell>
          <cell r="E543">
            <v>0</v>
          </cell>
          <cell r="G543">
            <v>0</v>
          </cell>
        </row>
        <row r="544">
          <cell r="B544">
            <v>1217113</v>
          </cell>
          <cell r="C544">
            <v>3</v>
          </cell>
          <cell r="E544">
            <v>0</v>
          </cell>
          <cell r="G544">
            <v>0</v>
          </cell>
        </row>
        <row r="545">
          <cell r="B545">
            <v>1217113</v>
          </cell>
          <cell r="C545">
            <v>4</v>
          </cell>
          <cell r="E545">
            <v>0</v>
          </cell>
          <cell r="G545">
            <v>0</v>
          </cell>
        </row>
        <row r="546">
          <cell r="B546">
            <v>1217113</v>
          </cell>
          <cell r="C546">
            <v>5</v>
          </cell>
          <cell r="E546">
            <v>0</v>
          </cell>
          <cell r="G546">
            <v>0</v>
          </cell>
        </row>
        <row r="547">
          <cell r="B547">
            <v>1217113</v>
          </cell>
          <cell r="C547">
            <v>7</v>
          </cell>
          <cell r="E547">
            <v>0</v>
          </cell>
          <cell r="G547">
            <v>0</v>
          </cell>
        </row>
        <row r="548">
          <cell r="B548">
            <v>1217113</v>
          </cell>
          <cell r="C548">
            <v>9</v>
          </cell>
          <cell r="E548">
            <v>0</v>
          </cell>
          <cell r="G548">
            <v>0</v>
          </cell>
        </row>
        <row r="549">
          <cell r="B549" t="str">
            <v>SECTEUR</v>
          </cell>
          <cell r="C549">
            <v>13</v>
          </cell>
          <cell r="E549">
            <v>16379229436.079002</v>
          </cell>
          <cell r="G549">
            <v>19602453349.912899</v>
          </cell>
        </row>
        <row r="550">
          <cell r="B550" t="str">
            <v>MIN</v>
          </cell>
          <cell r="C550">
            <v>1311</v>
          </cell>
          <cell r="E550">
            <v>10786399666.860001</v>
          </cell>
          <cell r="G550">
            <v>12558217123.860001</v>
          </cell>
        </row>
        <row r="551">
          <cell r="B551" t="str">
            <v>chap</v>
          </cell>
          <cell r="C551">
            <v>13111</v>
          </cell>
          <cell r="E551">
            <v>10786399666.860001</v>
          </cell>
          <cell r="G551">
            <v>12558217123.860001</v>
          </cell>
        </row>
        <row r="552">
          <cell r="B552" t="str">
            <v>SECTION</v>
          </cell>
          <cell r="C552">
            <v>1311111</v>
          </cell>
          <cell r="E552">
            <v>290761678.75999999</v>
          </cell>
          <cell r="G552">
            <v>205099999.75999999</v>
          </cell>
        </row>
        <row r="553">
          <cell r="B553">
            <v>1311111</v>
          </cell>
          <cell r="C553">
            <v>1</v>
          </cell>
          <cell r="E553">
            <v>145956842.88</v>
          </cell>
          <cell r="G553">
            <v>130000000.88000001</v>
          </cell>
        </row>
        <row r="554">
          <cell r="B554">
            <v>1311111</v>
          </cell>
          <cell r="C554">
            <v>2</v>
          </cell>
          <cell r="E554">
            <v>9545147.5</v>
          </cell>
          <cell r="G554">
            <v>19999999.5</v>
          </cell>
        </row>
        <row r="555">
          <cell r="B555">
            <v>1311111</v>
          </cell>
          <cell r="C555">
            <v>3</v>
          </cell>
          <cell r="E555">
            <v>5120776</v>
          </cell>
          <cell r="G555">
            <v>10000000</v>
          </cell>
        </row>
        <row r="556">
          <cell r="B556">
            <v>1311111</v>
          </cell>
          <cell r="C556">
            <v>4</v>
          </cell>
          <cell r="E556">
            <v>691136</v>
          </cell>
          <cell r="G556">
            <v>100000</v>
          </cell>
        </row>
        <row r="557">
          <cell r="B557">
            <v>1311111</v>
          </cell>
          <cell r="C557">
            <v>5</v>
          </cell>
          <cell r="E557">
            <v>0</v>
          </cell>
          <cell r="G557">
            <v>0</v>
          </cell>
        </row>
        <row r="558">
          <cell r="B558">
            <v>1311111</v>
          </cell>
          <cell r="C558">
            <v>7</v>
          </cell>
          <cell r="E558">
            <v>98178831.580000013</v>
          </cell>
          <cell r="G558">
            <v>24999999.579999998</v>
          </cell>
        </row>
        <row r="559">
          <cell r="B559">
            <v>1311111</v>
          </cell>
          <cell r="C559">
            <v>9</v>
          </cell>
          <cell r="E559">
            <v>31268944.799999997</v>
          </cell>
          <cell r="G559">
            <v>19999999.799999997</v>
          </cell>
        </row>
        <row r="560">
          <cell r="B560" t="str">
            <v>SECTION</v>
          </cell>
          <cell r="C560">
            <v>1311112</v>
          </cell>
          <cell r="E560">
            <v>10106543564.82</v>
          </cell>
          <cell r="G560">
            <v>11942217438.82</v>
          </cell>
        </row>
        <row r="561">
          <cell r="B561">
            <v>1311112</v>
          </cell>
          <cell r="C561">
            <v>1</v>
          </cell>
          <cell r="E561">
            <v>7875596772.7000017</v>
          </cell>
          <cell r="G561">
            <v>9717853950.7000008</v>
          </cell>
        </row>
        <row r="562">
          <cell r="B562">
            <v>1311112</v>
          </cell>
          <cell r="C562">
            <v>2</v>
          </cell>
          <cell r="E562">
            <v>1236172916.9299998</v>
          </cell>
          <cell r="G562">
            <v>888963487.92999995</v>
          </cell>
        </row>
        <row r="563">
          <cell r="B563">
            <v>1311112</v>
          </cell>
          <cell r="C563">
            <v>3</v>
          </cell>
          <cell r="E563">
            <v>120965525.41</v>
          </cell>
          <cell r="G563">
            <v>210000000.41</v>
          </cell>
        </row>
        <row r="564">
          <cell r="B564">
            <v>1311112</v>
          </cell>
          <cell r="C564">
            <v>4</v>
          </cell>
          <cell r="E564">
            <v>53607779.889999993</v>
          </cell>
          <cell r="G564">
            <v>100099999.88999999</v>
          </cell>
        </row>
        <row r="565">
          <cell r="B565">
            <v>1311112</v>
          </cell>
          <cell r="C565">
            <v>5</v>
          </cell>
          <cell r="E565">
            <v>627068.4</v>
          </cell>
          <cell r="G565">
            <v>300000.40000000002</v>
          </cell>
        </row>
        <row r="566">
          <cell r="B566">
            <v>1311112</v>
          </cell>
          <cell r="C566">
            <v>7</v>
          </cell>
          <cell r="E566">
            <v>337355001.92000002</v>
          </cell>
          <cell r="G566">
            <v>174999999.92000002</v>
          </cell>
        </row>
        <row r="567">
          <cell r="B567">
            <v>1311112</v>
          </cell>
          <cell r="C567">
            <v>9</v>
          </cell>
          <cell r="E567">
            <v>482218499.56999999</v>
          </cell>
          <cell r="G567">
            <v>849999999.56999993</v>
          </cell>
        </row>
        <row r="568">
          <cell r="B568" t="str">
            <v>SECTION</v>
          </cell>
          <cell r="C568">
            <v>1311115</v>
          </cell>
          <cell r="E568">
            <v>18194737.920000002</v>
          </cell>
          <cell r="G568">
            <v>19999999.920000002</v>
          </cell>
        </row>
        <row r="569">
          <cell r="B569">
            <v>1311115</v>
          </cell>
          <cell r="C569">
            <v>1</v>
          </cell>
          <cell r="E569">
            <v>14870737.92</v>
          </cell>
          <cell r="G569">
            <v>15675999.92</v>
          </cell>
        </row>
        <row r="570">
          <cell r="B570">
            <v>1311115</v>
          </cell>
          <cell r="C570">
            <v>2</v>
          </cell>
          <cell r="E570">
            <v>3324000</v>
          </cell>
          <cell r="G570">
            <v>4324000</v>
          </cell>
        </row>
        <row r="571">
          <cell r="B571">
            <v>1311115</v>
          </cell>
          <cell r="C571">
            <v>3</v>
          </cell>
          <cell r="E571">
            <v>0</v>
          </cell>
          <cell r="G571">
            <v>0</v>
          </cell>
        </row>
        <row r="572">
          <cell r="B572">
            <v>1311115</v>
          </cell>
          <cell r="C572">
            <v>4</v>
          </cell>
          <cell r="E572">
            <v>0</v>
          </cell>
          <cell r="G572">
            <v>0</v>
          </cell>
        </row>
        <row r="573">
          <cell r="B573">
            <v>1311115</v>
          </cell>
          <cell r="C573">
            <v>5</v>
          </cell>
          <cell r="E573">
            <v>0</v>
          </cell>
          <cell r="G573">
            <v>0</v>
          </cell>
        </row>
        <row r="574">
          <cell r="B574">
            <v>1311115</v>
          </cell>
          <cell r="C574">
            <v>7</v>
          </cell>
          <cell r="E574">
            <v>0</v>
          </cell>
          <cell r="G574">
            <v>0</v>
          </cell>
        </row>
        <row r="575">
          <cell r="B575">
            <v>1311115</v>
          </cell>
          <cell r="C575">
            <v>9</v>
          </cell>
          <cell r="E575">
            <v>0</v>
          </cell>
          <cell r="G575">
            <v>0</v>
          </cell>
        </row>
        <row r="576">
          <cell r="B576" t="str">
            <v>SECTION</v>
          </cell>
          <cell r="C576">
            <v>1311117</v>
          </cell>
          <cell r="E576">
            <v>315890010</v>
          </cell>
          <cell r="G576">
            <v>319390010</v>
          </cell>
        </row>
        <row r="577">
          <cell r="B577">
            <v>1311117</v>
          </cell>
          <cell r="C577">
            <v>1</v>
          </cell>
          <cell r="E577">
            <v>262068010</v>
          </cell>
          <cell r="G577">
            <v>262068010</v>
          </cell>
        </row>
        <row r="578">
          <cell r="B578">
            <v>1311117</v>
          </cell>
          <cell r="C578">
            <v>2</v>
          </cell>
          <cell r="E578">
            <v>53822000</v>
          </cell>
          <cell r="G578">
            <v>57322000</v>
          </cell>
        </row>
        <row r="579">
          <cell r="B579">
            <v>1311117</v>
          </cell>
          <cell r="C579">
            <v>3</v>
          </cell>
          <cell r="E579">
            <v>0</v>
          </cell>
          <cell r="G579">
            <v>0</v>
          </cell>
        </row>
        <row r="580">
          <cell r="B580">
            <v>1311117</v>
          </cell>
          <cell r="C580">
            <v>4</v>
          </cell>
          <cell r="E580">
            <v>0</v>
          </cell>
          <cell r="G580">
            <v>0</v>
          </cell>
        </row>
        <row r="581">
          <cell r="B581">
            <v>1311117</v>
          </cell>
          <cell r="C581">
            <v>5</v>
          </cell>
          <cell r="E581">
            <v>0</v>
          </cell>
          <cell r="G581">
            <v>0</v>
          </cell>
        </row>
        <row r="582">
          <cell r="B582">
            <v>1311117</v>
          </cell>
          <cell r="C582">
            <v>7</v>
          </cell>
          <cell r="E582">
            <v>0</v>
          </cell>
          <cell r="G582">
            <v>0</v>
          </cell>
        </row>
        <row r="583">
          <cell r="B583">
            <v>1311117</v>
          </cell>
          <cell r="C583">
            <v>9</v>
          </cell>
          <cell r="E583">
            <v>0</v>
          </cell>
          <cell r="G583">
            <v>0</v>
          </cell>
        </row>
        <row r="584">
          <cell r="B584" t="str">
            <v>SECTION</v>
          </cell>
          <cell r="C584">
            <v>1311118</v>
          </cell>
          <cell r="E584">
            <v>55009675.359999999</v>
          </cell>
          <cell r="G584">
            <v>71509675.359999999</v>
          </cell>
        </row>
        <row r="585">
          <cell r="B585">
            <v>1311118</v>
          </cell>
          <cell r="C585">
            <v>1</v>
          </cell>
          <cell r="E585">
            <v>15000000</v>
          </cell>
          <cell r="G585">
            <v>20000000</v>
          </cell>
        </row>
        <row r="586">
          <cell r="B586">
            <v>1311118</v>
          </cell>
          <cell r="C586">
            <v>2</v>
          </cell>
          <cell r="E586">
            <v>40009675.359999999</v>
          </cell>
          <cell r="G586">
            <v>51509675.359999999</v>
          </cell>
        </row>
        <row r="587">
          <cell r="B587">
            <v>1311118</v>
          </cell>
          <cell r="C587">
            <v>7</v>
          </cell>
          <cell r="E587">
            <v>0</v>
          </cell>
          <cell r="G587">
            <v>0</v>
          </cell>
        </row>
        <row r="588">
          <cell r="B588" t="str">
            <v>MIN</v>
          </cell>
          <cell r="C588">
            <v>1312</v>
          </cell>
          <cell r="E588">
            <v>962343527.375</v>
          </cell>
          <cell r="G588">
            <v>1117593398.375</v>
          </cell>
        </row>
        <row r="589">
          <cell r="B589" t="str">
            <v>chap</v>
          </cell>
          <cell r="C589">
            <v>13121</v>
          </cell>
          <cell r="E589">
            <v>962343527.375</v>
          </cell>
          <cell r="G589">
            <v>1117593398.375</v>
          </cell>
        </row>
        <row r="590">
          <cell r="B590" t="str">
            <v>SECTION</v>
          </cell>
          <cell r="C590">
            <v>1312111</v>
          </cell>
          <cell r="E590">
            <v>113341024.06099999</v>
          </cell>
          <cell r="G590">
            <v>141836316.06099996</v>
          </cell>
        </row>
        <row r="591">
          <cell r="B591">
            <v>1312111</v>
          </cell>
          <cell r="C591">
            <v>1</v>
          </cell>
          <cell r="E591">
            <v>100987248.73999999</v>
          </cell>
          <cell r="G591">
            <v>109482430.73999998</v>
          </cell>
        </row>
        <row r="592">
          <cell r="B592">
            <v>1312111</v>
          </cell>
          <cell r="C592">
            <v>2</v>
          </cell>
          <cell r="E592">
            <v>5281562.99</v>
          </cell>
          <cell r="G592">
            <v>3736572.99</v>
          </cell>
        </row>
        <row r="593">
          <cell r="B593">
            <v>1312111</v>
          </cell>
          <cell r="C593">
            <v>3</v>
          </cell>
          <cell r="E593">
            <v>2464150.0499999998</v>
          </cell>
          <cell r="G593">
            <v>4009140.05</v>
          </cell>
        </row>
        <row r="594">
          <cell r="B594">
            <v>1312111</v>
          </cell>
          <cell r="C594">
            <v>4</v>
          </cell>
          <cell r="E594">
            <v>0</v>
          </cell>
          <cell r="G594">
            <v>0</v>
          </cell>
        </row>
        <row r="595">
          <cell r="B595">
            <v>1312111</v>
          </cell>
          <cell r="C595">
            <v>5</v>
          </cell>
          <cell r="E595">
            <v>0</v>
          </cell>
          <cell r="G595">
            <v>0</v>
          </cell>
        </row>
        <row r="596">
          <cell r="B596">
            <v>1312111</v>
          </cell>
          <cell r="C596">
            <v>7</v>
          </cell>
          <cell r="E596">
            <v>1000000</v>
          </cell>
          <cell r="G596">
            <v>1000000</v>
          </cell>
        </row>
        <row r="597">
          <cell r="B597">
            <v>1312111</v>
          </cell>
          <cell r="C597">
            <v>9</v>
          </cell>
          <cell r="E597">
            <v>3608062.2809999995</v>
          </cell>
          <cell r="G597">
            <v>23608172.280999999</v>
          </cell>
        </row>
        <row r="598">
          <cell r="B598" t="str">
            <v>SECTION</v>
          </cell>
          <cell r="C598">
            <v>1312112</v>
          </cell>
          <cell r="E598">
            <v>636658975.56500006</v>
          </cell>
          <cell r="G598">
            <v>696392247.56500006</v>
          </cell>
        </row>
        <row r="599">
          <cell r="B599">
            <v>1312112</v>
          </cell>
          <cell r="C599">
            <v>1</v>
          </cell>
          <cell r="E599">
            <v>491713482.28999996</v>
          </cell>
          <cell r="G599">
            <v>567446888.28999996</v>
          </cell>
        </row>
        <row r="600">
          <cell r="B600">
            <v>1312112</v>
          </cell>
          <cell r="C600">
            <v>2</v>
          </cell>
          <cell r="E600">
            <v>50385570.978</v>
          </cell>
          <cell r="G600">
            <v>38885515.978</v>
          </cell>
        </row>
        <row r="601">
          <cell r="B601">
            <v>1312112</v>
          </cell>
          <cell r="C601">
            <v>3</v>
          </cell>
          <cell r="E601">
            <v>18949203.728</v>
          </cell>
          <cell r="G601">
            <v>30449163.728</v>
          </cell>
        </row>
        <row r="602">
          <cell r="B602">
            <v>1312112</v>
          </cell>
          <cell r="C602">
            <v>4</v>
          </cell>
          <cell r="E602">
            <v>24772847.936000004</v>
          </cell>
          <cell r="G602">
            <v>14772823.936000003</v>
          </cell>
        </row>
        <row r="603">
          <cell r="B603">
            <v>1312112</v>
          </cell>
          <cell r="C603">
            <v>5</v>
          </cell>
          <cell r="E603">
            <v>0</v>
          </cell>
          <cell r="G603">
            <v>0</v>
          </cell>
        </row>
        <row r="604">
          <cell r="B604">
            <v>1312112</v>
          </cell>
          <cell r="C604">
            <v>7</v>
          </cell>
          <cell r="E604">
            <v>0</v>
          </cell>
          <cell r="G604">
            <v>0</v>
          </cell>
        </row>
        <row r="605">
          <cell r="B605">
            <v>1312112</v>
          </cell>
          <cell r="C605">
            <v>9</v>
          </cell>
          <cell r="E605">
            <v>50837870.633000001</v>
          </cell>
          <cell r="G605">
            <v>44837855.633000009</v>
          </cell>
        </row>
        <row r="606">
          <cell r="B606" t="str">
            <v>SECTION</v>
          </cell>
          <cell r="C606">
            <v>1312113</v>
          </cell>
          <cell r="E606">
            <v>54000000.035999998</v>
          </cell>
          <cell r="G606">
            <v>58664599.035999998</v>
          </cell>
        </row>
        <row r="607">
          <cell r="B607">
            <v>1312113</v>
          </cell>
          <cell r="C607">
            <v>1</v>
          </cell>
          <cell r="E607">
            <v>42683561.039999999</v>
          </cell>
          <cell r="G607">
            <v>44948160.039999999</v>
          </cell>
        </row>
        <row r="608">
          <cell r="B608">
            <v>1312113</v>
          </cell>
          <cell r="C608">
            <v>2</v>
          </cell>
          <cell r="E608">
            <v>11316438.995999999</v>
          </cell>
          <cell r="G608">
            <v>13716438.995999999</v>
          </cell>
        </row>
        <row r="609">
          <cell r="B609">
            <v>1312113</v>
          </cell>
          <cell r="C609">
            <v>3</v>
          </cell>
          <cell r="E609">
            <v>0</v>
          </cell>
          <cell r="G609">
            <v>0</v>
          </cell>
        </row>
        <row r="610">
          <cell r="B610">
            <v>1312113</v>
          </cell>
          <cell r="C610">
            <v>4</v>
          </cell>
          <cell r="E610">
            <v>0</v>
          </cell>
          <cell r="G610">
            <v>0</v>
          </cell>
        </row>
        <row r="611">
          <cell r="B611">
            <v>1312113</v>
          </cell>
          <cell r="C611">
            <v>5</v>
          </cell>
          <cell r="E611">
            <v>0</v>
          </cell>
          <cell r="G611">
            <v>0</v>
          </cell>
        </row>
        <row r="612">
          <cell r="B612">
            <v>1312113</v>
          </cell>
          <cell r="C612">
            <v>7</v>
          </cell>
          <cell r="E612">
            <v>0</v>
          </cell>
          <cell r="G612">
            <v>0</v>
          </cell>
        </row>
        <row r="613">
          <cell r="B613">
            <v>1312113</v>
          </cell>
          <cell r="C613">
            <v>9</v>
          </cell>
          <cell r="E613">
            <v>0</v>
          </cell>
          <cell r="G613">
            <v>0</v>
          </cell>
        </row>
        <row r="614">
          <cell r="B614" t="str">
            <v>SECTION</v>
          </cell>
          <cell r="C614">
            <v>1312114</v>
          </cell>
          <cell r="E614">
            <v>53303777.420000002</v>
          </cell>
          <cell r="G614">
            <v>60668811.420000002</v>
          </cell>
        </row>
        <row r="615">
          <cell r="B615">
            <v>1312114</v>
          </cell>
          <cell r="C615">
            <v>1</v>
          </cell>
          <cell r="E615">
            <v>40512670.939999998</v>
          </cell>
          <cell r="G615">
            <v>44177723.939999998</v>
          </cell>
        </row>
        <row r="616">
          <cell r="B616">
            <v>1312114</v>
          </cell>
          <cell r="C616">
            <v>2</v>
          </cell>
          <cell r="E616">
            <v>12791106.48</v>
          </cell>
          <cell r="G616">
            <v>16491087.48</v>
          </cell>
        </row>
        <row r="617">
          <cell r="B617">
            <v>1312114</v>
          </cell>
          <cell r="C617">
            <v>3</v>
          </cell>
          <cell r="E617">
            <v>0</v>
          </cell>
          <cell r="G617">
            <v>0</v>
          </cell>
        </row>
        <row r="618">
          <cell r="B618">
            <v>1312114</v>
          </cell>
          <cell r="C618">
            <v>4</v>
          </cell>
          <cell r="E618">
            <v>0</v>
          </cell>
          <cell r="G618">
            <v>0</v>
          </cell>
        </row>
        <row r="619">
          <cell r="B619">
            <v>1312114</v>
          </cell>
          <cell r="C619">
            <v>5</v>
          </cell>
          <cell r="E619">
            <v>0</v>
          </cell>
          <cell r="G619">
            <v>0</v>
          </cell>
        </row>
        <row r="620">
          <cell r="B620">
            <v>1312114</v>
          </cell>
          <cell r="C620">
            <v>7</v>
          </cell>
          <cell r="E620">
            <v>0</v>
          </cell>
          <cell r="G620">
            <v>0</v>
          </cell>
        </row>
        <row r="621">
          <cell r="B621">
            <v>1312114</v>
          </cell>
          <cell r="C621">
            <v>9</v>
          </cell>
          <cell r="E621">
            <v>0</v>
          </cell>
          <cell r="G621">
            <v>0</v>
          </cell>
        </row>
        <row r="622">
          <cell r="B622" t="str">
            <v>SECTION</v>
          </cell>
          <cell r="C622">
            <v>1312115</v>
          </cell>
          <cell r="E622">
            <v>65000000.290000007</v>
          </cell>
          <cell r="G622">
            <v>114999888.29000001</v>
          </cell>
        </row>
        <row r="623">
          <cell r="B623">
            <v>1312115</v>
          </cell>
          <cell r="C623">
            <v>1</v>
          </cell>
          <cell r="E623">
            <v>42464168.290000007</v>
          </cell>
          <cell r="G623">
            <v>50953171.290000007</v>
          </cell>
        </row>
        <row r="624">
          <cell r="B624">
            <v>1312115</v>
          </cell>
          <cell r="C624">
            <v>2</v>
          </cell>
          <cell r="E624">
            <v>22535832</v>
          </cell>
          <cell r="G624">
            <v>64046717</v>
          </cell>
        </row>
        <row r="625">
          <cell r="B625">
            <v>1312115</v>
          </cell>
          <cell r="C625">
            <v>3</v>
          </cell>
          <cell r="E625">
            <v>0</v>
          </cell>
          <cell r="G625">
            <v>0</v>
          </cell>
        </row>
        <row r="626">
          <cell r="B626">
            <v>1312115</v>
          </cell>
          <cell r="C626">
            <v>4</v>
          </cell>
          <cell r="E626">
            <v>0</v>
          </cell>
          <cell r="G626">
            <v>0</v>
          </cell>
        </row>
        <row r="627">
          <cell r="B627">
            <v>1312115</v>
          </cell>
          <cell r="C627">
            <v>5</v>
          </cell>
          <cell r="E627">
            <v>0</v>
          </cell>
          <cell r="G627">
            <v>0</v>
          </cell>
        </row>
        <row r="628">
          <cell r="B628">
            <v>1312115</v>
          </cell>
          <cell r="C628">
            <v>7</v>
          </cell>
          <cell r="E628">
            <v>0</v>
          </cell>
          <cell r="G628">
            <v>0</v>
          </cell>
        </row>
        <row r="629">
          <cell r="B629">
            <v>1312115</v>
          </cell>
          <cell r="C629">
            <v>9</v>
          </cell>
          <cell r="E629">
            <v>0</v>
          </cell>
          <cell r="G629">
            <v>0</v>
          </cell>
        </row>
        <row r="630">
          <cell r="B630" t="str">
            <v>SECTION</v>
          </cell>
          <cell r="C630">
            <v>1312117</v>
          </cell>
          <cell r="E630">
            <v>40039750.002999999</v>
          </cell>
          <cell r="G630">
            <v>45031536.002999999</v>
          </cell>
        </row>
        <row r="631">
          <cell r="B631">
            <v>1312117</v>
          </cell>
          <cell r="C631">
            <v>1</v>
          </cell>
          <cell r="E631">
            <v>21039750</v>
          </cell>
          <cell r="G631">
            <v>22031544</v>
          </cell>
        </row>
        <row r="632">
          <cell r="B632">
            <v>1312117</v>
          </cell>
          <cell r="C632">
            <v>9</v>
          </cell>
          <cell r="E632">
            <v>19000000.002999999</v>
          </cell>
          <cell r="G632">
            <v>22999992.002999999</v>
          </cell>
        </row>
        <row r="633">
          <cell r="B633" t="str">
            <v>MIN</v>
          </cell>
          <cell r="C633">
            <v>1313</v>
          </cell>
          <cell r="E633">
            <v>3923625986.7760005</v>
          </cell>
          <cell r="G633">
            <v>5063920068.776</v>
          </cell>
        </row>
        <row r="634">
          <cell r="B634" t="str">
            <v>chap</v>
          </cell>
          <cell r="C634">
            <v>13131</v>
          </cell>
          <cell r="E634">
            <v>3923625986.7760005</v>
          </cell>
          <cell r="G634">
            <v>5063920068.776</v>
          </cell>
        </row>
        <row r="635">
          <cell r="B635" t="str">
            <v>SECTION</v>
          </cell>
          <cell r="C635">
            <v>1313111</v>
          </cell>
          <cell r="E635">
            <v>67717721.920000002</v>
          </cell>
          <cell r="G635">
            <v>96739481.919999987</v>
          </cell>
        </row>
        <row r="636">
          <cell r="B636">
            <v>1313111</v>
          </cell>
          <cell r="C636">
            <v>1</v>
          </cell>
          <cell r="E636">
            <v>61748303</v>
          </cell>
          <cell r="G636">
            <v>60670076.999999993</v>
          </cell>
        </row>
        <row r="637">
          <cell r="B637">
            <v>1313111</v>
          </cell>
          <cell r="C637">
            <v>2</v>
          </cell>
          <cell r="E637">
            <v>3789123.92</v>
          </cell>
          <cell r="G637">
            <v>3789123.92</v>
          </cell>
        </row>
        <row r="638">
          <cell r="B638">
            <v>1313111</v>
          </cell>
          <cell r="C638">
            <v>3</v>
          </cell>
          <cell r="E638">
            <v>0</v>
          </cell>
          <cell r="G638">
            <v>0</v>
          </cell>
        </row>
        <row r="639">
          <cell r="B639">
            <v>1313111</v>
          </cell>
          <cell r="C639">
            <v>4</v>
          </cell>
          <cell r="E639">
            <v>0</v>
          </cell>
          <cell r="G639">
            <v>0</v>
          </cell>
        </row>
        <row r="640">
          <cell r="B640">
            <v>1313111</v>
          </cell>
          <cell r="C640">
            <v>5</v>
          </cell>
          <cell r="E640">
            <v>0</v>
          </cell>
          <cell r="G640">
            <v>0</v>
          </cell>
        </row>
        <row r="641">
          <cell r="B641">
            <v>1313111</v>
          </cell>
          <cell r="C641">
            <v>7</v>
          </cell>
          <cell r="E641">
            <v>2180295</v>
          </cell>
          <cell r="G641">
            <v>2280281</v>
          </cell>
        </row>
        <row r="642">
          <cell r="B642">
            <v>1313111</v>
          </cell>
          <cell r="C642">
            <v>9</v>
          </cell>
          <cell r="E642">
            <v>0</v>
          </cell>
          <cell r="G642">
            <v>30000000</v>
          </cell>
        </row>
        <row r="643">
          <cell r="B643" t="str">
            <v>SECTION</v>
          </cell>
          <cell r="C643">
            <v>1313112</v>
          </cell>
          <cell r="E643">
            <v>3853508264.8600006</v>
          </cell>
          <cell r="G643">
            <v>4964780598.8599997</v>
          </cell>
        </row>
        <row r="644">
          <cell r="B644">
            <v>1313112</v>
          </cell>
          <cell r="C644">
            <v>1</v>
          </cell>
          <cell r="E644">
            <v>3365516292.52</v>
          </cell>
          <cell r="G644">
            <v>4319806194.5200005</v>
          </cell>
        </row>
        <row r="645">
          <cell r="B645">
            <v>1313112</v>
          </cell>
          <cell r="C645">
            <v>2</v>
          </cell>
          <cell r="E645">
            <v>124830429.24100001</v>
          </cell>
          <cell r="G645">
            <v>238182633.241</v>
          </cell>
        </row>
        <row r="646">
          <cell r="B646">
            <v>1313112</v>
          </cell>
          <cell r="C646">
            <v>3</v>
          </cell>
          <cell r="E646">
            <v>187257481.36000001</v>
          </cell>
          <cell r="G646">
            <v>306513359.36000001</v>
          </cell>
        </row>
        <row r="647">
          <cell r="B647">
            <v>1313112</v>
          </cell>
          <cell r="C647">
            <v>4</v>
          </cell>
          <cell r="E647">
            <v>67718429.089000002</v>
          </cell>
          <cell r="G647">
            <v>37718412.089000002</v>
          </cell>
        </row>
        <row r="648">
          <cell r="B648">
            <v>1313112</v>
          </cell>
          <cell r="C648">
            <v>5</v>
          </cell>
          <cell r="E648">
            <v>0</v>
          </cell>
          <cell r="G648">
            <v>0</v>
          </cell>
        </row>
        <row r="649">
          <cell r="B649">
            <v>1313112</v>
          </cell>
          <cell r="C649">
            <v>7</v>
          </cell>
          <cell r="E649">
            <v>1464999.9640000002</v>
          </cell>
          <cell r="G649">
            <v>1464999.9640000002</v>
          </cell>
        </row>
        <row r="650">
          <cell r="B650">
            <v>1313112</v>
          </cell>
          <cell r="C650">
            <v>9</v>
          </cell>
          <cell r="E650">
            <v>106720632.686</v>
          </cell>
          <cell r="G650">
            <v>61094999.686000004</v>
          </cell>
        </row>
        <row r="651">
          <cell r="B651" t="str">
            <v>SECTION</v>
          </cell>
          <cell r="C651">
            <v>1313114</v>
          </cell>
          <cell r="E651">
            <v>2399999.9959999998</v>
          </cell>
          <cell r="G651">
            <v>2399987.9959999998</v>
          </cell>
        </row>
        <row r="652">
          <cell r="B652">
            <v>1313114</v>
          </cell>
          <cell r="C652">
            <v>7</v>
          </cell>
          <cell r="E652">
            <v>2399999.9959999998</v>
          </cell>
          <cell r="G652">
            <v>2399987.9959999998</v>
          </cell>
        </row>
        <row r="653">
          <cell r="B653" t="str">
            <v>MIN</v>
          </cell>
          <cell r="C653">
            <v>1314</v>
          </cell>
          <cell r="E653">
            <v>143000000.30800003</v>
          </cell>
          <cell r="G653">
            <v>168203101.1419</v>
          </cell>
        </row>
        <row r="654">
          <cell r="B654" t="str">
            <v>chap</v>
          </cell>
          <cell r="C654">
            <v>13141</v>
          </cell>
          <cell r="E654">
            <v>143000000.30800003</v>
          </cell>
          <cell r="G654">
            <v>168203101.1419</v>
          </cell>
        </row>
        <row r="655">
          <cell r="B655" t="str">
            <v>SECTION</v>
          </cell>
          <cell r="C655">
            <v>1314111</v>
          </cell>
          <cell r="E655">
            <v>36206718.074000001</v>
          </cell>
          <cell r="G655">
            <v>38092491.074000001</v>
          </cell>
        </row>
        <row r="656">
          <cell r="B656">
            <v>1314111</v>
          </cell>
          <cell r="C656">
            <v>1</v>
          </cell>
          <cell r="E656">
            <v>28650208.299999997</v>
          </cell>
          <cell r="G656">
            <v>32521591.299999997</v>
          </cell>
        </row>
        <row r="657">
          <cell r="B657">
            <v>1314111</v>
          </cell>
          <cell r="C657">
            <v>2</v>
          </cell>
          <cell r="E657">
            <v>685591.17</v>
          </cell>
          <cell r="G657">
            <v>0.17000000004190952</v>
          </cell>
        </row>
        <row r="658">
          <cell r="B658">
            <v>1314111</v>
          </cell>
          <cell r="C658">
            <v>3</v>
          </cell>
          <cell r="E658">
            <v>1115540.6040000001</v>
          </cell>
          <cell r="G658">
            <v>2215531.6040000003</v>
          </cell>
        </row>
        <row r="659">
          <cell r="B659">
            <v>1314111</v>
          </cell>
          <cell r="C659">
            <v>4</v>
          </cell>
          <cell r="E659">
            <v>1206121</v>
          </cell>
          <cell r="G659">
            <v>1206120</v>
          </cell>
        </row>
        <row r="660">
          <cell r="B660">
            <v>1314111</v>
          </cell>
          <cell r="C660">
            <v>5</v>
          </cell>
          <cell r="E660">
            <v>0</v>
          </cell>
          <cell r="G660">
            <v>0</v>
          </cell>
        </row>
        <row r="661">
          <cell r="B661">
            <v>1314111</v>
          </cell>
          <cell r="C661">
            <v>7</v>
          </cell>
          <cell r="E661">
            <v>0</v>
          </cell>
          <cell r="G661">
            <v>0</v>
          </cell>
        </row>
        <row r="662">
          <cell r="B662">
            <v>1314111</v>
          </cell>
          <cell r="C662">
            <v>9</v>
          </cell>
          <cell r="E662">
            <v>4549257</v>
          </cell>
          <cell r="G662">
            <v>2149248</v>
          </cell>
        </row>
        <row r="663">
          <cell r="B663" t="str">
            <v>SECTION</v>
          </cell>
          <cell r="C663">
            <v>1314112</v>
          </cell>
          <cell r="E663">
            <v>106793282.23400001</v>
          </cell>
          <cell r="G663">
            <v>130110610.06790002</v>
          </cell>
        </row>
        <row r="664">
          <cell r="B664">
            <v>1314112</v>
          </cell>
          <cell r="C664">
            <v>1</v>
          </cell>
          <cell r="E664">
            <v>78804178.760000005</v>
          </cell>
          <cell r="G664">
            <v>82872757.493900016</v>
          </cell>
        </row>
        <row r="665">
          <cell r="B665">
            <v>1314112</v>
          </cell>
          <cell r="C665">
            <v>2</v>
          </cell>
          <cell r="E665">
            <v>12462875.550000001</v>
          </cell>
          <cell r="G665">
            <v>15962826.220000001</v>
          </cell>
        </row>
        <row r="666">
          <cell r="B666">
            <v>1314112</v>
          </cell>
          <cell r="C666">
            <v>3</v>
          </cell>
          <cell r="E666">
            <v>4652978.2740000002</v>
          </cell>
          <cell r="G666">
            <v>10787395.284</v>
          </cell>
        </row>
        <row r="667">
          <cell r="B667">
            <v>1314112</v>
          </cell>
          <cell r="C667">
            <v>4</v>
          </cell>
          <cell r="E667">
            <v>784132.09</v>
          </cell>
          <cell r="G667">
            <v>2500004.09</v>
          </cell>
        </row>
        <row r="668">
          <cell r="B668">
            <v>1314112</v>
          </cell>
          <cell r="C668">
            <v>5</v>
          </cell>
          <cell r="E668">
            <v>0</v>
          </cell>
          <cell r="G668">
            <v>0</v>
          </cell>
        </row>
        <row r="669">
          <cell r="B669">
            <v>1314112</v>
          </cell>
          <cell r="C669">
            <v>7</v>
          </cell>
          <cell r="E669">
            <v>0</v>
          </cell>
          <cell r="G669">
            <v>0</v>
          </cell>
        </row>
        <row r="670">
          <cell r="B670">
            <v>1314112</v>
          </cell>
          <cell r="C670">
            <v>9</v>
          </cell>
          <cell r="E670">
            <v>10089117.560000001</v>
          </cell>
          <cell r="G670">
            <v>17987626.98</v>
          </cell>
        </row>
        <row r="671">
          <cell r="B671" t="str">
            <v>MIN</v>
          </cell>
          <cell r="C671">
            <v>1315</v>
          </cell>
          <cell r="E671">
            <v>563860254.76000011</v>
          </cell>
          <cell r="G671">
            <v>694519657.76000011</v>
          </cell>
        </row>
        <row r="672">
          <cell r="B672" t="str">
            <v>chap</v>
          </cell>
          <cell r="C672">
            <v>13151</v>
          </cell>
          <cell r="E672">
            <v>563860254.76000011</v>
          </cell>
          <cell r="G672">
            <v>694519657.76000011</v>
          </cell>
        </row>
        <row r="673">
          <cell r="B673" t="str">
            <v>SECTION</v>
          </cell>
          <cell r="C673">
            <v>1315111</v>
          </cell>
          <cell r="E673">
            <v>85525291.960000008</v>
          </cell>
          <cell r="G673">
            <v>133974332.96000001</v>
          </cell>
        </row>
        <row r="674">
          <cell r="B674">
            <v>1315111</v>
          </cell>
          <cell r="C674">
            <v>1</v>
          </cell>
          <cell r="E674">
            <v>76609745.960000008</v>
          </cell>
          <cell r="G674">
            <v>81668614.960000008</v>
          </cell>
        </row>
        <row r="675">
          <cell r="B675">
            <v>1315111</v>
          </cell>
          <cell r="C675">
            <v>2</v>
          </cell>
          <cell r="E675">
            <v>5566084</v>
          </cell>
          <cell r="G675">
            <v>9066084</v>
          </cell>
        </row>
        <row r="676">
          <cell r="B676">
            <v>1315111</v>
          </cell>
          <cell r="C676">
            <v>3</v>
          </cell>
          <cell r="E676">
            <v>2000000</v>
          </cell>
          <cell r="G676">
            <v>5939642</v>
          </cell>
        </row>
        <row r="677">
          <cell r="B677">
            <v>1315111</v>
          </cell>
          <cell r="C677">
            <v>4</v>
          </cell>
          <cell r="E677">
            <v>111750</v>
          </cell>
          <cell r="G677">
            <v>0</v>
          </cell>
        </row>
        <row r="678">
          <cell r="B678">
            <v>1315111</v>
          </cell>
          <cell r="C678">
            <v>5</v>
          </cell>
          <cell r="E678">
            <v>0</v>
          </cell>
          <cell r="G678">
            <v>0</v>
          </cell>
        </row>
        <row r="679">
          <cell r="B679">
            <v>1315111</v>
          </cell>
          <cell r="C679">
            <v>7</v>
          </cell>
          <cell r="E679">
            <v>500000</v>
          </cell>
          <cell r="G679">
            <v>1299992</v>
          </cell>
        </row>
        <row r="680">
          <cell r="B680">
            <v>1315111</v>
          </cell>
          <cell r="C680">
            <v>9</v>
          </cell>
          <cell r="E680">
            <v>737712</v>
          </cell>
          <cell r="G680">
            <v>36000000</v>
          </cell>
        </row>
        <row r="681">
          <cell r="B681" t="str">
            <v>SECTION</v>
          </cell>
          <cell r="C681">
            <v>1315112</v>
          </cell>
          <cell r="E681">
            <v>478334962.80000007</v>
          </cell>
          <cell r="G681">
            <v>560545324.80000007</v>
          </cell>
        </row>
        <row r="682">
          <cell r="B682">
            <v>1315112</v>
          </cell>
          <cell r="C682">
            <v>1</v>
          </cell>
          <cell r="E682">
            <v>246000020.80000007</v>
          </cell>
          <cell r="G682">
            <v>257990120.80000007</v>
          </cell>
        </row>
        <row r="683">
          <cell r="B683">
            <v>1315112</v>
          </cell>
          <cell r="C683">
            <v>2</v>
          </cell>
          <cell r="E683">
            <v>36390215.996000007</v>
          </cell>
          <cell r="G683">
            <v>38390187.996000007</v>
          </cell>
        </row>
        <row r="684">
          <cell r="B684">
            <v>1315112</v>
          </cell>
          <cell r="C684">
            <v>3</v>
          </cell>
          <cell r="E684">
            <v>50114102.003999993</v>
          </cell>
          <cell r="G684">
            <v>61020374.003999993</v>
          </cell>
        </row>
        <row r="685">
          <cell r="B685">
            <v>1315112</v>
          </cell>
          <cell r="C685">
            <v>4</v>
          </cell>
          <cell r="E685">
            <v>15601522</v>
          </cell>
          <cell r="G685">
            <v>15061522</v>
          </cell>
        </row>
        <row r="686">
          <cell r="B686">
            <v>1315112</v>
          </cell>
          <cell r="C686">
            <v>5</v>
          </cell>
          <cell r="E686">
            <v>0</v>
          </cell>
          <cell r="G686">
            <v>0</v>
          </cell>
        </row>
        <row r="687">
          <cell r="B687">
            <v>1315112</v>
          </cell>
          <cell r="C687">
            <v>7</v>
          </cell>
          <cell r="E687">
            <v>1000000</v>
          </cell>
          <cell r="G687">
            <v>199996</v>
          </cell>
        </row>
        <row r="688">
          <cell r="B688">
            <v>1315112</v>
          </cell>
          <cell r="C688">
            <v>9</v>
          </cell>
          <cell r="E688">
            <v>129229102</v>
          </cell>
          <cell r="G688">
            <v>187883124</v>
          </cell>
        </row>
        <row r="689">
          <cell r="B689" t="str">
            <v>SECTEUR</v>
          </cell>
          <cell r="C689">
            <v>14</v>
          </cell>
          <cell r="E689">
            <v>1649051408.1389999</v>
          </cell>
          <cell r="G689">
            <v>1769436464.1409998</v>
          </cell>
        </row>
        <row r="690">
          <cell r="B690" t="str">
            <v>MIN</v>
          </cell>
          <cell r="C690">
            <v>1411</v>
          </cell>
          <cell r="E690">
            <v>174152189.92899996</v>
          </cell>
          <cell r="G690">
            <v>185752089.92899996</v>
          </cell>
        </row>
        <row r="691">
          <cell r="B691" t="str">
            <v>chap</v>
          </cell>
          <cell r="C691">
            <v>14111</v>
          </cell>
          <cell r="E691">
            <v>174152189.92899996</v>
          </cell>
          <cell r="G691">
            <v>185752089.92899996</v>
          </cell>
        </row>
        <row r="692">
          <cell r="B692" t="str">
            <v>SECTION</v>
          </cell>
          <cell r="C692">
            <v>1411112</v>
          </cell>
          <cell r="E692">
            <v>174152189.92899996</v>
          </cell>
          <cell r="G692">
            <v>185752089.92899996</v>
          </cell>
        </row>
        <row r="693">
          <cell r="B693">
            <v>1411112</v>
          </cell>
          <cell r="C693">
            <v>1</v>
          </cell>
          <cell r="E693">
            <v>87418799</v>
          </cell>
          <cell r="G693">
            <v>84418763</v>
          </cell>
        </row>
        <row r="694">
          <cell r="B694">
            <v>1411112</v>
          </cell>
          <cell r="C694">
            <v>2</v>
          </cell>
          <cell r="E694">
            <v>7585487.7390000001</v>
          </cell>
          <cell r="G694">
            <v>16585515.739</v>
          </cell>
        </row>
        <row r="695">
          <cell r="B695">
            <v>1411112</v>
          </cell>
          <cell r="C695">
            <v>3</v>
          </cell>
          <cell r="E695">
            <v>5804394</v>
          </cell>
          <cell r="G695">
            <v>11904352</v>
          </cell>
        </row>
        <row r="696">
          <cell r="B696">
            <v>1411112</v>
          </cell>
          <cell r="C696">
            <v>4</v>
          </cell>
          <cell r="E696">
            <v>3000000.24</v>
          </cell>
          <cell r="G696">
            <v>9405975.2400000002</v>
          </cell>
        </row>
        <row r="697">
          <cell r="B697">
            <v>1411112</v>
          </cell>
          <cell r="C697">
            <v>5</v>
          </cell>
          <cell r="E697">
            <v>0</v>
          </cell>
          <cell r="G697">
            <v>0</v>
          </cell>
        </row>
        <row r="698">
          <cell r="B698">
            <v>1411112</v>
          </cell>
          <cell r="C698">
            <v>7</v>
          </cell>
          <cell r="E698">
            <v>63992786</v>
          </cell>
          <cell r="G698">
            <v>59392772</v>
          </cell>
        </row>
        <row r="699">
          <cell r="B699">
            <v>1411112</v>
          </cell>
          <cell r="C699">
            <v>9</v>
          </cell>
          <cell r="E699">
            <v>6350722.9500000002</v>
          </cell>
          <cell r="G699">
            <v>4044711.9499999993</v>
          </cell>
        </row>
        <row r="700">
          <cell r="B700" t="str">
            <v>MIN</v>
          </cell>
          <cell r="C700">
            <v>1412</v>
          </cell>
          <cell r="E700">
            <v>1170557605.79</v>
          </cell>
          <cell r="G700">
            <v>1246456927.7920001</v>
          </cell>
        </row>
        <row r="701">
          <cell r="B701" t="str">
            <v>chap</v>
          </cell>
          <cell r="C701">
            <v>14121</v>
          </cell>
          <cell r="E701">
            <v>1170557605.79</v>
          </cell>
          <cell r="G701">
            <v>1246456927.7920001</v>
          </cell>
        </row>
        <row r="702">
          <cell r="B702" t="str">
            <v>SECTION</v>
          </cell>
          <cell r="C702">
            <v>1412111</v>
          </cell>
          <cell r="E702">
            <v>106359272.87200001</v>
          </cell>
          <cell r="G702">
            <v>115235382.92200001</v>
          </cell>
        </row>
        <row r="703">
          <cell r="B703">
            <v>1412111</v>
          </cell>
          <cell r="C703">
            <v>1</v>
          </cell>
          <cell r="E703">
            <v>52851225.920000002</v>
          </cell>
          <cell r="G703">
            <v>59851225.920000002</v>
          </cell>
        </row>
        <row r="704">
          <cell r="B704">
            <v>1412111</v>
          </cell>
          <cell r="C704">
            <v>2</v>
          </cell>
          <cell r="E704">
            <v>10209762.470000001</v>
          </cell>
          <cell r="G704">
            <v>20212808.469999999</v>
          </cell>
        </row>
        <row r="705">
          <cell r="B705">
            <v>1412111</v>
          </cell>
          <cell r="C705">
            <v>3</v>
          </cell>
          <cell r="E705">
            <v>8651413.9500000011</v>
          </cell>
          <cell r="G705">
            <v>0</v>
          </cell>
        </row>
        <row r="706">
          <cell r="B706">
            <v>1412111</v>
          </cell>
          <cell r="C706">
            <v>4</v>
          </cell>
          <cell r="E706">
            <v>2402772.452</v>
          </cell>
          <cell r="G706">
            <v>3993853.4520000005</v>
          </cell>
        </row>
        <row r="707">
          <cell r="B707">
            <v>1412111</v>
          </cell>
          <cell r="C707">
            <v>5</v>
          </cell>
          <cell r="E707">
            <v>0</v>
          </cell>
          <cell r="G707">
            <v>0</v>
          </cell>
        </row>
        <row r="708">
          <cell r="B708">
            <v>1412111</v>
          </cell>
          <cell r="C708">
            <v>7</v>
          </cell>
          <cell r="E708">
            <v>17591081.079999998</v>
          </cell>
          <cell r="G708">
            <v>13000000.08</v>
          </cell>
        </row>
        <row r="709">
          <cell r="B709">
            <v>1412111</v>
          </cell>
          <cell r="C709">
            <v>9</v>
          </cell>
          <cell r="E709">
            <v>14653017</v>
          </cell>
          <cell r="G709">
            <v>18177495</v>
          </cell>
        </row>
        <row r="710">
          <cell r="B710" t="str">
            <v>SECTION</v>
          </cell>
          <cell r="C710">
            <v>1412112</v>
          </cell>
          <cell r="E710">
            <v>273520351.85599995</v>
          </cell>
          <cell r="G710">
            <v>275168723.85600001</v>
          </cell>
        </row>
        <row r="711">
          <cell r="B711">
            <v>1412112</v>
          </cell>
          <cell r="C711">
            <v>1</v>
          </cell>
          <cell r="E711">
            <v>72378501</v>
          </cell>
          <cell r="G711">
            <v>74378501</v>
          </cell>
        </row>
        <row r="712">
          <cell r="B712">
            <v>1412112</v>
          </cell>
          <cell r="C712">
            <v>2</v>
          </cell>
          <cell r="E712">
            <v>20151165.505999997</v>
          </cell>
          <cell r="G712">
            <v>33552529.506000005</v>
          </cell>
        </row>
        <row r="713">
          <cell r="B713">
            <v>1412112</v>
          </cell>
          <cell r="C713">
            <v>3</v>
          </cell>
          <cell r="E713">
            <v>12401364.09</v>
          </cell>
          <cell r="G713">
            <v>9.0000001713633537E-2</v>
          </cell>
        </row>
        <row r="714">
          <cell r="B714">
            <v>1412112</v>
          </cell>
          <cell r="C714">
            <v>4</v>
          </cell>
          <cell r="E714">
            <v>11863799.192000002</v>
          </cell>
          <cell r="G714">
            <v>11863799.191999998</v>
          </cell>
        </row>
        <row r="715">
          <cell r="B715">
            <v>1412112</v>
          </cell>
          <cell r="C715">
            <v>5</v>
          </cell>
          <cell r="E715">
            <v>0</v>
          </cell>
          <cell r="G715">
            <v>0</v>
          </cell>
        </row>
        <row r="716">
          <cell r="B716">
            <v>1412112</v>
          </cell>
          <cell r="C716">
            <v>7</v>
          </cell>
          <cell r="E716">
            <v>1351728.0660000001</v>
          </cell>
          <cell r="G716">
            <v>6.6000000108033419E-2</v>
          </cell>
        </row>
        <row r="717">
          <cell r="B717">
            <v>1412112</v>
          </cell>
          <cell r="C717">
            <v>9</v>
          </cell>
          <cell r="E717">
            <v>155373794.00199997</v>
          </cell>
          <cell r="G717">
            <v>155373894.00199997</v>
          </cell>
        </row>
        <row r="718">
          <cell r="B718" t="str">
            <v>SECTION</v>
          </cell>
          <cell r="C718">
            <v>1412113</v>
          </cell>
          <cell r="E718">
            <v>51564754.740000002</v>
          </cell>
          <cell r="G718">
            <v>56164740.740000002</v>
          </cell>
        </row>
        <row r="719">
          <cell r="B719">
            <v>1412113</v>
          </cell>
          <cell r="C719">
            <v>1</v>
          </cell>
          <cell r="E719">
            <v>37425068.340000004</v>
          </cell>
          <cell r="G719">
            <v>37425068.340000004</v>
          </cell>
        </row>
        <row r="720">
          <cell r="B720">
            <v>1412113</v>
          </cell>
          <cell r="C720">
            <v>2</v>
          </cell>
          <cell r="E720">
            <v>14139686.399999999</v>
          </cell>
          <cell r="G720">
            <v>18739672.399999999</v>
          </cell>
        </row>
        <row r="721">
          <cell r="B721">
            <v>1412113</v>
          </cell>
          <cell r="C721">
            <v>3</v>
          </cell>
          <cell r="E721">
            <v>0</v>
          </cell>
          <cell r="G721">
            <v>0</v>
          </cell>
        </row>
        <row r="722">
          <cell r="B722">
            <v>1412113</v>
          </cell>
          <cell r="C722">
            <v>4</v>
          </cell>
          <cell r="E722">
            <v>0</v>
          </cell>
          <cell r="G722">
            <v>0</v>
          </cell>
        </row>
        <row r="723">
          <cell r="B723">
            <v>1412113</v>
          </cell>
          <cell r="C723">
            <v>5</v>
          </cell>
          <cell r="E723">
            <v>0</v>
          </cell>
          <cell r="G723">
            <v>0</v>
          </cell>
        </row>
        <row r="724">
          <cell r="B724">
            <v>1412113</v>
          </cell>
          <cell r="C724">
            <v>7</v>
          </cell>
          <cell r="E724">
            <v>0</v>
          </cell>
          <cell r="G724">
            <v>0</v>
          </cell>
        </row>
        <row r="725">
          <cell r="B725">
            <v>1412113</v>
          </cell>
          <cell r="C725">
            <v>9</v>
          </cell>
          <cell r="E725">
            <v>0</v>
          </cell>
          <cell r="G725">
            <v>0</v>
          </cell>
        </row>
        <row r="726">
          <cell r="B726" t="str">
            <v>SECTION</v>
          </cell>
          <cell r="C726">
            <v>1412114</v>
          </cell>
          <cell r="E726">
            <v>70076624.340000004</v>
          </cell>
          <cell r="G726">
            <v>70851656.340000004</v>
          </cell>
        </row>
        <row r="727">
          <cell r="B727">
            <v>1412114</v>
          </cell>
          <cell r="C727">
            <v>1</v>
          </cell>
          <cell r="E727">
            <v>37083744.290000007</v>
          </cell>
          <cell r="G727">
            <v>37558780.290000007</v>
          </cell>
        </row>
        <row r="728">
          <cell r="B728">
            <v>1412114</v>
          </cell>
          <cell r="C728">
            <v>2</v>
          </cell>
          <cell r="E728">
            <v>32992880.049999997</v>
          </cell>
          <cell r="G728">
            <v>33292876.049999997</v>
          </cell>
        </row>
        <row r="729">
          <cell r="B729">
            <v>1412114</v>
          </cell>
          <cell r="C729">
            <v>3</v>
          </cell>
          <cell r="E729">
            <v>0</v>
          </cell>
          <cell r="G729">
            <v>0</v>
          </cell>
        </row>
        <row r="730">
          <cell r="B730">
            <v>1412114</v>
          </cell>
          <cell r="C730">
            <v>4</v>
          </cell>
          <cell r="E730">
            <v>0</v>
          </cell>
          <cell r="G730">
            <v>0</v>
          </cell>
        </row>
        <row r="731">
          <cell r="B731">
            <v>1412114</v>
          </cell>
          <cell r="C731">
            <v>5</v>
          </cell>
          <cell r="E731">
            <v>0</v>
          </cell>
          <cell r="G731">
            <v>0</v>
          </cell>
        </row>
        <row r="732">
          <cell r="B732">
            <v>1412114</v>
          </cell>
          <cell r="C732">
            <v>7</v>
          </cell>
          <cell r="E732">
            <v>0</v>
          </cell>
          <cell r="G732">
            <v>0</v>
          </cell>
        </row>
        <row r="733">
          <cell r="B733">
            <v>1412114</v>
          </cell>
          <cell r="C733">
            <v>9</v>
          </cell>
          <cell r="E733">
            <v>0</v>
          </cell>
          <cell r="G733">
            <v>0</v>
          </cell>
        </row>
        <row r="734">
          <cell r="B734" t="str">
            <v>SECTION</v>
          </cell>
          <cell r="C734">
            <v>1412115</v>
          </cell>
          <cell r="E734">
            <v>50184115.933999993</v>
          </cell>
          <cell r="G734">
            <v>55684113.933999993</v>
          </cell>
        </row>
        <row r="735">
          <cell r="B735">
            <v>1412115</v>
          </cell>
          <cell r="C735">
            <v>1</v>
          </cell>
          <cell r="E735">
            <v>40107445.849999994</v>
          </cell>
          <cell r="G735">
            <v>43684113.849999994</v>
          </cell>
        </row>
        <row r="736">
          <cell r="B736">
            <v>1412115</v>
          </cell>
          <cell r="C736">
            <v>2</v>
          </cell>
          <cell r="E736">
            <v>10076670.084000001</v>
          </cell>
          <cell r="G736">
            <v>12000000.083999999</v>
          </cell>
        </row>
        <row r="737">
          <cell r="B737">
            <v>1412115</v>
          </cell>
          <cell r="C737">
            <v>3</v>
          </cell>
          <cell r="E737">
            <v>0</v>
          </cell>
          <cell r="G737">
            <v>0</v>
          </cell>
        </row>
        <row r="738">
          <cell r="B738">
            <v>1412115</v>
          </cell>
          <cell r="C738">
            <v>4</v>
          </cell>
          <cell r="E738">
            <v>0</v>
          </cell>
          <cell r="G738">
            <v>0</v>
          </cell>
        </row>
        <row r="739">
          <cell r="B739">
            <v>1412115</v>
          </cell>
          <cell r="C739">
            <v>5</v>
          </cell>
          <cell r="E739">
            <v>0</v>
          </cell>
          <cell r="G739">
            <v>0</v>
          </cell>
        </row>
        <row r="740">
          <cell r="B740">
            <v>1412115</v>
          </cell>
          <cell r="C740">
            <v>7</v>
          </cell>
          <cell r="E740">
            <v>0</v>
          </cell>
          <cell r="G740">
            <v>0</v>
          </cell>
        </row>
        <row r="741">
          <cell r="B741">
            <v>1412115</v>
          </cell>
          <cell r="C741">
            <v>9</v>
          </cell>
          <cell r="E741">
            <v>0</v>
          </cell>
          <cell r="G741">
            <v>0</v>
          </cell>
        </row>
        <row r="742">
          <cell r="B742" t="str">
            <v>SECTION</v>
          </cell>
          <cell r="C742">
            <v>1412116</v>
          </cell>
          <cell r="E742">
            <v>46083956.175999999</v>
          </cell>
          <cell r="G742">
            <v>49083923.175999999</v>
          </cell>
        </row>
        <row r="743">
          <cell r="B743">
            <v>1412116</v>
          </cell>
          <cell r="C743">
            <v>1</v>
          </cell>
          <cell r="E743">
            <v>24328499.960000001</v>
          </cell>
          <cell r="G743">
            <v>24328499.960000001</v>
          </cell>
        </row>
        <row r="744">
          <cell r="B744">
            <v>1412116</v>
          </cell>
          <cell r="C744">
            <v>2</v>
          </cell>
          <cell r="E744">
            <v>21755456.215999998</v>
          </cell>
          <cell r="G744">
            <v>24755423.215999998</v>
          </cell>
        </row>
        <row r="745">
          <cell r="B745">
            <v>1412116</v>
          </cell>
          <cell r="C745">
            <v>3</v>
          </cell>
          <cell r="E745">
            <v>0</v>
          </cell>
          <cell r="G745">
            <v>0</v>
          </cell>
        </row>
        <row r="746">
          <cell r="B746">
            <v>1412116</v>
          </cell>
          <cell r="C746">
            <v>4</v>
          </cell>
          <cell r="E746">
            <v>0</v>
          </cell>
          <cell r="G746">
            <v>0</v>
          </cell>
        </row>
        <row r="747">
          <cell r="B747">
            <v>1412116</v>
          </cell>
          <cell r="C747">
            <v>5</v>
          </cell>
          <cell r="E747">
            <v>0</v>
          </cell>
          <cell r="G747">
            <v>0</v>
          </cell>
        </row>
        <row r="748">
          <cell r="B748">
            <v>1412116</v>
          </cell>
          <cell r="C748">
            <v>7</v>
          </cell>
          <cell r="E748">
            <v>0</v>
          </cell>
          <cell r="G748">
            <v>0</v>
          </cell>
        </row>
        <row r="749">
          <cell r="B749">
            <v>1412116</v>
          </cell>
          <cell r="C749">
            <v>9</v>
          </cell>
          <cell r="E749">
            <v>0</v>
          </cell>
          <cell r="G749">
            <v>0</v>
          </cell>
        </row>
        <row r="750">
          <cell r="B750" t="str">
            <v>SECTION</v>
          </cell>
          <cell r="C750">
            <v>1412117</v>
          </cell>
          <cell r="E750">
            <v>27647883.324000001</v>
          </cell>
          <cell r="G750">
            <v>31247820.324000001</v>
          </cell>
        </row>
        <row r="751">
          <cell r="B751">
            <v>1412117</v>
          </cell>
          <cell r="C751">
            <v>1</v>
          </cell>
          <cell r="E751">
            <v>19147883</v>
          </cell>
          <cell r="G751">
            <v>20747820</v>
          </cell>
        </row>
        <row r="752">
          <cell r="B752">
            <v>1412117</v>
          </cell>
          <cell r="C752">
            <v>2</v>
          </cell>
          <cell r="E752">
            <v>8500000.3239999991</v>
          </cell>
          <cell r="G752">
            <v>10500000.323999999</v>
          </cell>
        </row>
        <row r="753">
          <cell r="B753">
            <v>1412117</v>
          </cell>
          <cell r="C753">
            <v>3</v>
          </cell>
          <cell r="E753">
            <v>0</v>
          </cell>
          <cell r="G753">
            <v>0</v>
          </cell>
        </row>
        <row r="754">
          <cell r="B754">
            <v>1412117</v>
          </cell>
          <cell r="C754">
            <v>4</v>
          </cell>
          <cell r="E754">
            <v>0</v>
          </cell>
          <cell r="G754">
            <v>0</v>
          </cell>
        </row>
        <row r="755">
          <cell r="B755">
            <v>1412117</v>
          </cell>
          <cell r="C755">
            <v>5</v>
          </cell>
          <cell r="E755">
            <v>0</v>
          </cell>
          <cell r="G755">
            <v>0</v>
          </cell>
        </row>
        <row r="756">
          <cell r="B756">
            <v>1412117</v>
          </cell>
          <cell r="C756">
            <v>7</v>
          </cell>
          <cell r="E756">
            <v>0</v>
          </cell>
          <cell r="G756">
            <v>0</v>
          </cell>
        </row>
        <row r="757">
          <cell r="B757">
            <v>1412117</v>
          </cell>
          <cell r="C757">
            <v>9</v>
          </cell>
          <cell r="E757">
            <v>0</v>
          </cell>
          <cell r="G757">
            <v>0</v>
          </cell>
        </row>
        <row r="758">
          <cell r="B758" t="str">
            <v>SECTION</v>
          </cell>
          <cell r="C758">
            <v>1412118</v>
          </cell>
          <cell r="E758">
            <v>52574487.648000002</v>
          </cell>
          <cell r="G758">
            <v>62374420.539999999</v>
          </cell>
        </row>
        <row r="759">
          <cell r="B759">
            <v>1412118</v>
          </cell>
          <cell r="C759">
            <v>1</v>
          </cell>
          <cell r="E759">
            <v>35274271</v>
          </cell>
          <cell r="G759">
            <v>41543052</v>
          </cell>
        </row>
        <row r="760">
          <cell r="B760">
            <v>1412118</v>
          </cell>
          <cell r="C760">
            <v>2</v>
          </cell>
          <cell r="E760">
            <v>17300216.648000002</v>
          </cell>
          <cell r="G760">
            <v>20831368.539999999</v>
          </cell>
        </row>
        <row r="761">
          <cell r="B761">
            <v>1412118</v>
          </cell>
          <cell r="C761">
            <v>3</v>
          </cell>
          <cell r="E761">
            <v>0</v>
          </cell>
          <cell r="G761">
            <v>0</v>
          </cell>
        </row>
        <row r="762">
          <cell r="B762">
            <v>1412118</v>
          </cell>
          <cell r="C762">
            <v>4</v>
          </cell>
          <cell r="E762">
            <v>0</v>
          </cell>
          <cell r="G762">
            <v>0</v>
          </cell>
        </row>
        <row r="763">
          <cell r="B763">
            <v>1412118</v>
          </cell>
          <cell r="C763">
            <v>5</v>
          </cell>
          <cell r="E763">
            <v>0</v>
          </cell>
          <cell r="G763">
            <v>0</v>
          </cell>
        </row>
        <row r="764">
          <cell r="B764">
            <v>1412118</v>
          </cell>
          <cell r="C764">
            <v>7</v>
          </cell>
          <cell r="E764">
            <v>0</v>
          </cell>
          <cell r="G764">
            <v>0</v>
          </cell>
        </row>
        <row r="765">
          <cell r="B765">
            <v>1412118</v>
          </cell>
          <cell r="C765">
            <v>9</v>
          </cell>
          <cell r="E765">
            <v>0</v>
          </cell>
          <cell r="G765">
            <v>0</v>
          </cell>
        </row>
        <row r="766">
          <cell r="B766" t="str">
            <v>SECTION</v>
          </cell>
          <cell r="C766">
            <v>1412119</v>
          </cell>
          <cell r="E766">
            <v>144784641</v>
          </cell>
          <cell r="G766">
            <v>160784641</v>
          </cell>
        </row>
        <row r="767">
          <cell r="B767">
            <v>1412119</v>
          </cell>
          <cell r="C767">
            <v>1</v>
          </cell>
          <cell r="E767">
            <v>127551651.99999999</v>
          </cell>
          <cell r="G767">
            <v>141551652</v>
          </cell>
        </row>
        <row r="768">
          <cell r="B768">
            <v>1412119</v>
          </cell>
          <cell r="C768">
            <v>2</v>
          </cell>
          <cell r="E768">
            <v>17232989</v>
          </cell>
          <cell r="G768">
            <v>19232989</v>
          </cell>
        </row>
        <row r="769">
          <cell r="B769">
            <v>1412119</v>
          </cell>
          <cell r="C769">
            <v>3</v>
          </cell>
          <cell r="E769">
            <v>0</v>
          </cell>
          <cell r="G769">
            <v>0</v>
          </cell>
        </row>
        <row r="770">
          <cell r="B770">
            <v>1412119</v>
          </cell>
          <cell r="C770">
            <v>4</v>
          </cell>
          <cell r="E770">
            <v>0</v>
          </cell>
          <cell r="G770">
            <v>0</v>
          </cell>
        </row>
        <row r="771">
          <cell r="B771">
            <v>1412119</v>
          </cell>
          <cell r="C771">
            <v>5</v>
          </cell>
          <cell r="E771">
            <v>0</v>
          </cell>
          <cell r="G771">
            <v>0</v>
          </cell>
        </row>
        <row r="772">
          <cell r="B772">
            <v>1412119</v>
          </cell>
          <cell r="C772">
            <v>7</v>
          </cell>
          <cell r="E772">
            <v>0</v>
          </cell>
          <cell r="G772">
            <v>0</v>
          </cell>
        </row>
        <row r="773">
          <cell r="B773">
            <v>1412119</v>
          </cell>
          <cell r="C773">
            <v>9</v>
          </cell>
          <cell r="E773">
            <v>0</v>
          </cell>
          <cell r="G773">
            <v>0</v>
          </cell>
        </row>
        <row r="774">
          <cell r="B774" t="str">
            <v>SECTION</v>
          </cell>
          <cell r="C774">
            <v>1412123</v>
          </cell>
          <cell r="E774">
            <v>250262999.95999998</v>
          </cell>
          <cell r="G774">
            <v>262262999.95999998</v>
          </cell>
        </row>
        <row r="775">
          <cell r="B775">
            <v>1412123</v>
          </cell>
          <cell r="C775">
            <v>2</v>
          </cell>
          <cell r="E775">
            <v>250262999.95999998</v>
          </cell>
          <cell r="G775">
            <v>262262999.95999998</v>
          </cell>
        </row>
        <row r="776">
          <cell r="B776" t="str">
            <v>SECTION</v>
          </cell>
          <cell r="C776">
            <v>1412124</v>
          </cell>
          <cell r="E776">
            <v>53463878</v>
          </cell>
          <cell r="G776">
            <v>59563876</v>
          </cell>
        </row>
        <row r="777">
          <cell r="B777">
            <v>1412124</v>
          </cell>
          <cell r="C777">
            <v>1</v>
          </cell>
          <cell r="E777">
            <v>25012559.800000004</v>
          </cell>
          <cell r="G777">
            <v>27512559.800000004</v>
          </cell>
        </row>
        <row r="778">
          <cell r="B778">
            <v>1412124</v>
          </cell>
          <cell r="C778">
            <v>2</v>
          </cell>
          <cell r="E778">
            <v>28451318.199999996</v>
          </cell>
          <cell r="G778">
            <v>32051316.199999996</v>
          </cell>
        </row>
        <row r="779">
          <cell r="B779">
            <v>1412124</v>
          </cell>
          <cell r="C779">
            <v>7</v>
          </cell>
          <cell r="E779">
            <v>0</v>
          </cell>
          <cell r="G779">
            <v>0</v>
          </cell>
        </row>
        <row r="780">
          <cell r="B780" t="str">
            <v>SECTION</v>
          </cell>
          <cell r="C780">
            <v>1412125</v>
          </cell>
          <cell r="E780">
            <v>44034639.939999998</v>
          </cell>
          <cell r="G780">
            <v>48034629</v>
          </cell>
        </row>
        <row r="781">
          <cell r="B781">
            <v>1412125</v>
          </cell>
          <cell r="C781">
            <v>1</v>
          </cell>
          <cell r="E781">
            <v>21083104.84</v>
          </cell>
          <cell r="G781">
            <v>23083104.899999999</v>
          </cell>
        </row>
        <row r="782">
          <cell r="B782">
            <v>1412125</v>
          </cell>
          <cell r="C782">
            <v>2</v>
          </cell>
          <cell r="E782">
            <v>22951535.100000001</v>
          </cell>
          <cell r="G782">
            <v>24951524.100000001</v>
          </cell>
        </row>
        <row r="783">
          <cell r="B783">
            <v>1412125</v>
          </cell>
          <cell r="C783">
            <v>7</v>
          </cell>
          <cell r="E783">
            <v>0</v>
          </cell>
          <cell r="G783">
            <v>0</v>
          </cell>
        </row>
        <row r="784">
          <cell r="B784" t="str">
            <v>MIN</v>
          </cell>
          <cell r="C784">
            <v>1413</v>
          </cell>
          <cell r="E784">
            <v>304341612.41999996</v>
          </cell>
          <cell r="G784">
            <v>337227446.41999996</v>
          </cell>
        </row>
        <row r="785">
          <cell r="B785" t="str">
            <v>chap</v>
          </cell>
          <cell r="C785">
            <v>14131</v>
          </cell>
          <cell r="E785">
            <v>304341612.41999996</v>
          </cell>
          <cell r="G785">
            <v>337227446.41999996</v>
          </cell>
        </row>
        <row r="786">
          <cell r="B786" t="str">
            <v>SECTION</v>
          </cell>
          <cell r="C786">
            <v>1413111</v>
          </cell>
          <cell r="E786">
            <v>43802442.909999989</v>
          </cell>
          <cell r="G786">
            <v>27986498.909999996</v>
          </cell>
        </row>
        <row r="787">
          <cell r="B787">
            <v>1413111</v>
          </cell>
          <cell r="C787">
            <v>1</v>
          </cell>
          <cell r="E787">
            <v>12482069.139999995</v>
          </cell>
          <cell r="G787">
            <v>6596751.1399999959</v>
          </cell>
        </row>
        <row r="788">
          <cell r="B788">
            <v>1413111</v>
          </cell>
          <cell r="C788">
            <v>2</v>
          </cell>
          <cell r="E788">
            <v>14684899.93</v>
          </cell>
          <cell r="G788">
            <v>9929622.9299999997</v>
          </cell>
        </row>
        <row r="789">
          <cell r="B789">
            <v>1413111</v>
          </cell>
          <cell r="C789">
            <v>3</v>
          </cell>
          <cell r="E789">
            <v>8755608.2200000007</v>
          </cell>
          <cell r="G789">
            <v>6665999.2200000007</v>
          </cell>
        </row>
        <row r="790">
          <cell r="B790">
            <v>1413111</v>
          </cell>
          <cell r="C790">
            <v>4</v>
          </cell>
          <cell r="E790">
            <v>4733258.16</v>
          </cell>
          <cell r="G790">
            <v>1.1600000001490116</v>
          </cell>
        </row>
        <row r="791">
          <cell r="B791">
            <v>1413111</v>
          </cell>
          <cell r="C791">
            <v>5</v>
          </cell>
          <cell r="E791">
            <v>987303.04</v>
          </cell>
          <cell r="G791">
            <v>987303.04</v>
          </cell>
        </row>
        <row r="792">
          <cell r="B792">
            <v>1413111</v>
          </cell>
          <cell r="C792">
            <v>7</v>
          </cell>
          <cell r="E792">
            <v>0</v>
          </cell>
          <cell r="G792">
            <v>0</v>
          </cell>
        </row>
        <row r="793">
          <cell r="B793">
            <v>1413111</v>
          </cell>
          <cell r="C793">
            <v>9</v>
          </cell>
          <cell r="E793">
            <v>2159304.42</v>
          </cell>
          <cell r="G793">
            <v>3806821.42</v>
          </cell>
        </row>
        <row r="794">
          <cell r="B794" t="str">
            <v>SECTION</v>
          </cell>
          <cell r="C794">
            <v>1413112</v>
          </cell>
          <cell r="E794">
            <v>61011716</v>
          </cell>
          <cell r="G794">
            <v>85213563</v>
          </cell>
        </row>
        <row r="795">
          <cell r="B795">
            <v>1413112</v>
          </cell>
          <cell r="C795">
            <v>1</v>
          </cell>
          <cell r="E795">
            <v>44631785.999999993</v>
          </cell>
          <cell r="G795">
            <v>49799794.999999993</v>
          </cell>
        </row>
        <row r="796">
          <cell r="B796">
            <v>1413112</v>
          </cell>
          <cell r="C796">
            <v>2</v>
          </cell>
          <cell r="E796">
            <v>10144910.270000001</v>
          </cell>
          <cell r="G796">
            <v>16945671.27</v>
          </cell>
        </row>
        <row r="797">
          <cell r="B797">
            <v>1413112</v>
          </cell>
          <cell r="C797">
            <v>3</v>
          </cell>
          <cell r="E797">
            <v>4214024.78</v>
          </cell>
          <cell r="G797">
            <v>6561379.7800000003</v>
          </cell>
        </row>
        <row r="798">
          <cell r="B798">
            <v>1413112</v>
          </cell>
          <cell r="C798">
            <v>4</v>
          </cell>
          <cell r="E798">
            <v>0.37999999988824129</v>
          </cell>
          <cell r="G798">
            <v>6906716.379999999</v>
          </cell>
        </row>
        <row r="799">
          <cell r="B799">
            <v>1413112</v>
          </cell>
          <cell r="C799">
            <v>5</v>
          </cell>
          <cell r="E799">
            <v>0</v>
          </cell>
          <cell r="G799">
            <v>0</v>
          </cell>
        </row>
        <row r="800">
          <cell r="B800">
            <v>1413112</v>
          </cell>
          <cell r="C800">
            <v>7</v>
          </cell>
          <cell r="E800">
            <v>0</v>
          </cell>
          <cell r="G800">
            <v>0</v>
          </cell>
        </row>
        <row r="801">
          <cell r="B801">
            <v>1413112</v>
          </cell>
          <cell r="C801">
            <v>9</v>
          </cell>
          <cell r="E801">
            <v>2020994.5700000003</v>
          </cell>
          <cell r="G801">
            <v>5000000.57</v>
          </cell>
        </row>
        <row r="802">
          <cell r="B802" t="str">
            <v>SECTION</v>
          </cell>
          <cell r="C802">
            <v>1413113</v>
          </cell>
          <cell r="E802">
            <v>133828500.99999999</v>
          </cell>
          <cell r="G802">
            <v>150828501</v>
          </cell>
        </row>
        <row r="803">
          <cell r="B803">
            <v>1413113</v>
          </cell>
          <cell r="C803">
            <v>1</v>
          </cell>
          <cell r="E803">
            <v>106856216.47999999</v>
          </cell>
          <cell r="G803">
            <v>116856148.47999999</v>
          </cell>
        </row>
        <row r="804">
          <cell r="B804">
            <v>1413113</v>
          </cell>
          <cell r="C804">
            <v>2</v>
          </cell>
          <cell r="E804">
            <v>26972284.52</v>
          </cell>
          <cell r="G804">
            <v>33972352.519999996</v>
          </cell>
        </row>
        <row r="805">
          <cell r="B805">
            <v>1413113</v>
          </cell>
          <cell r="C805">
            <v>3</v>
          </cell>
          <cell r="E805">
            <v>0</v>
          </cell>
          <cell r="G805">
            <v>0</v>
          </cell>
        </row>
        <row r="806">
          <cell r="B806">
            <v>1413113</v>
          </cell>
          <cell r="C806">
            <v>4</v>
          </cell>
          <cell r="E806">
            <v>0</v>
          </cell>
          <cell r="G806">
            <v>0</v>
          </cell>
        </row>
        <row r="807">
          <cell r="B807">
            <v>1413113</v>
          </cell>
          <cell r="C807">
            <v>5</v>
          </cell>
          <cell r="E807">
            <v>0</v>
          </cell>
          <cell r="G807">
            <v>0</v>
          </cell>
        </row>
        <row r="808">
          <cell r="B808">
            <v>1413113</v>
          </cell>
          <cell r="C808">
            <v>7</v>
          </cell>
          <cell r="E808">
            <v>0</v>
          </cell>
          <cell r="G808">
            <v>0</v>
          </cell>
        </row>
        <row r="809">
          <cell r="B809">
            <v>1413113</v>
          </cell>
          <cell r="C809">
            <v>9</v>
          </cell>
          <cell r="E809">
            <v>0</v>
          </cell>
          <cell r="G809">
            <v>0</v>
          </cell>
        </row>
        <row r="810">
          <cell r="B810" t="str">
            <v>SECTION</v>
          </cell>
          <cell r="C810">
            <v>1413114</v>
          </cell>
          <cell r="E810">
            <v>65698952.50999999</v>
          </cell>
          <cell r="G810">
            <v>73198883.50999999</v>
          </cell>
        </row>
        <row r="811">
          <cell r="B811">
            <v>1413114</v>
          </cell>
          <cell r="C811">
            <v>1</v>
          </cell>
          <cell r="E811">
            <v>51185399.599999994</v>
          </cell>
          <cell r="G811">
            <v>56685351.599999994</v>
          </cell>
        </row>
        <row r="812">
          <cell r="B812">
            <v>1413114</v>
          </cell>
          <cell r="C812">
            <v>2</v>
          </cell>
          <cell r="E812">
            <v>14513552.91</v>
          </cell>
          <cell r="G812">
            <v>16513531.91</v>
          </cell>
        </row>
        <row r="813">
          <cell r="B813">
            <v>1413114</v>
          </cell>
          <cell r="C813">
            <v>3</v>
          </cell>
          <cell r="E813">
            <v>0</v>
          </cell>
          <cell r="G813">
            <v>0</v>
          </cell>
        </row>
        <row r="814">
          <cell r="B814">
            <v>1413114</v>
          </cell>
          <cell r="C814">
            <v>4</v>
          </cell>
          <cell r="E814">
            <v>0</v>
          </cell>
          <cell r="G814">
            <v>0</v>
          </cell>
        </row>
        <row r="815">
          <cell r="B815">
            <v>1413114</v>
          </cell>
          <cell r="C815">
            <v>5</v>
          </cell>
          <cell r="E815">
            <v>0</v>
          </cell>
          <cell r="G815">
            <v>0</v>
          </cell>
        </row>
        <row r="816">
          <cell r="B816">
            <v>1413114</v>
          </cell>
          <cell r="C816">
            <v>7</v>
          </cell>
          <cell r="E816">
            <v>0</v>
          </cell>
          <cell r="G816">
            <v>0</v>
          </cell>
        </row>
        <row r="817">
          <cell r="B817">
            <v>1413114</v>
          </cell>
          <cell r="C817">
            <v>9</v>
          </cell>
          <cell r="E817">
            <v>0</v>
          </cell>
          <cell r="G817">
            <v>0</v>
          </cell>
        </row>
        <row r="818">
          <cell r="B818" t="str">
            <v>SECTEUR</v>
          </cell>
          <cell r="C818">
            <v>15</v>
          </cell>
          <cell r="E818">
            <v>20696938515.34</v>
          </cell>
          <cell r="G818">
            <v>24394395194.75</v>
          </cell>
        </row>
        <row r="819">
          <cell r="B819" t="str">
            <v>MIN</v>
          </cell>
          <cell r="C819">
            <v>1511</v>
          </cell>
          <cell r="E819">
            <v>9105089544</v>
          </cell>
          <cell r="G819">
            <v>10673012571.32</v>
          </cell>
        </row>
        <row r="820">
          <cell r="B820" t="str">
            <v>SECTION</v>
          </cell>
          <cell r="C820">
            <v>1511111</v>
          </cell>
          <cell r="E820">
            <v>1323889109</v>
          </cell>
          <cell r="G820">
            <v>2523889107</v>
          </cell>
        </row>
        <row r="821">
          <cell r="B821">
            <v>1511111</v>
          </cell>
          <cell r="C821">
            <v>7</v>
          </cell>
          <cell r="E821">
            <v>1323889109</v>
          </cell>
          <cell r="G821">
            <v>2523889107</v>
          </cell>
        </row>
        <row r="822">
          <cell r="B822" t="str">
            <v>SECTION</v>
          </cell>
          <cell r="C822">
            <v>1511113</v>
          </cell>
          <cell r="E822">
            <v>350000000</v>
          </cell>
          <cell r="G822">
            <v>461075000</v>
          </cell>
        </row>
        <row r="823">
          <cell r="B823">
            <v>1511113</v>
          </cell>
          <cell r="C823">
            <v>7</v>
          </cell>
          <cell r="E823">
            <v>350000000</v>
          </cell>
          <cell r="G823">
            <v>461075000</v>
          </cell>
        </row>
        <row r="824">
          <cell r="B824" t="str">
            <v>SECTION</v>
          </cell>
          <cell r="C824">
            <v>1511149</v>
          </cell>
          <cell r="E824">
            <v>7431200435</v>
          </cell>
          <cell r="G824">
            <v>7688048464.3199997</v>
          </cell>
        </row>
        <row r="825">
          <cell r="B825">
            <v>1511149</v>
          </cell>
          <cell r="C825">
            <v>4</v>
          </cell>
          <cell r="E825">
            <v>10000001</v>
          </cell>
          <cell r="G825">
            <v>35000000</v>
          </cell>
        </row>
        <row r="826">
          <cell r="B826">
            <v>1511149</v>
          </cell>
          <cell r="C826">
            <v>5</v>
          </cell>
          <cell r="E826">
            <v>0</v>
          </cell>
          <cell r="G826">
            <v>0</v>
          </cell>
        </row>
        <row r="827">
          <cell r="B827">
            <v>1511149</v>
          </cell>
          <cell r="C827">
            <v>7</v>
          </cell>
          <cell r="E827">
            <v>4548030430</v>
          </cell>
          <cell r="G827">
            <v>4961355560</v>
          </cell>
        </row>
        <row r="828">
          <cell r="B828">
            <v>1511149</v>
          </cell>
          <cell r="C828">
            <v>9</v>
          </cell>
          <cell r="E828">
            <v>2873170004</v>
          </cell>
          <cell r="G828">
            <v>2691692904.3199997</v>
          </cell>
          <cell r="J828">
            <v>8982812395.3333321</v>
          </cell>
          <cell r="K828">
            <v>528761191</v>
          </cell>
          <cell r="L828">
            <v>200782500</v>
          </cell>
          <cell r="M828">
            <v>310659478</v>
          </cell>
          <cell r="N828">
            <v>1040203169</v>
          </cell>
          <cell r="O828">
            <v>277956024</v>
          </cell>
          <cell r="P828">
            <v>217553720</v>
          </cell>
          <cell r="Q828">
            <v>246506885</v>
          </cell>
          <cell r="R828">
            <v>742016629</v>
          </cell>
          <cell r="S828">
            <v>1782219798</v>
          </cell>
          <cell r="T828">
            <v>379803137</v>
          </cell>
          <cell r="U828">
            <v>371125970</v>
          </cell>
        </row>
        <row r="829">
          <cell r="B829" t="str">
            <v>MIN</v>
          </cell>
          <cell r="C829">
            <v>1512</v>
          </cell>
          <cell r="E829">
            <v>11591848971.34</v>
          </cell>
          <cell r="G829">
            <v>13721382623.43</v>
          </cell>
        </row>
        <row r="830">
          <cell r="B830" t="str">
            <v>chap</v>
          </cell>
          <cell r="C830">
            <v>15121</v>
          </cell>
          <cell r="E830">
            <v>5178580924.6899996</v>
          </cell>
          <cell r="G830">
            <v>6262257152.4300003</v>
          </cell>
        </row>
        <row r="831">
          <cell r="B831" t="str">
            <v>SECTION</v>
          </cell>
          <cell r="C831">
            <v>1512111</v>
          </cell>
          <cell r="E831">
            <v>1100000000</v>
          </cell>
          <cell r="G831">
            <v>1100000000</v>
          </cell>
        </row>
        <row r="832">
          <cell r="B832">
            <v>1512111</v>
          </cell>
          <cell r="C832">
            <v>2</v>
          </cell>
          <cell r="E832">
            <v>1100000000</v>
          </cell>
          <cell r="G832">
            <v>1100000000</v>
          </cell>
        </row>
        <row r="833">
          <cell r="B833" t="str">
            <v>SECTION</v>
          </cell>
          <cell r="C833">
            <v>1512112</v>
          </cell>
          <cell r="E833">
            <v>2025580924.6899998</v>
          </cell>
          <cell r="G833">
            <v>2968340224.4300003</v>
          </cell>
        </row>
        <row r="834">
          <cell r="B834">
            <v>1512112</v>
          </cell>
          <cell r="C834">
            <v>2</v>
          </cell>
          <cell r="E834">
            <v>207113799.55000001</v>
          </cell>
          <cell r="G834">
            <v>380840225</v>
          </cell>
        </row>
        <row r="835">
          <cell r="B835">
            <v>1512112</v>
          </cell>
          <cell r="C835">
            <v>8</v>
          </cell>
          <cell r="E835">
            <v>1818467125.1399999</v>
          </cell>
          <cell r="G835">
            <v>2587499999.4300003</v>
          </cell>
        </row>
        <row r="836">
          <cell r="B836" t="str">
            <v>SECTION</v>
          </cell>
          <cell r="C836">
            <v>1512113</v>
          </cell>
          <cell r="E836">
            <v>2053000000</v>
          </cell>
          <cell r="G836">
            <v>2193916928</v>
          </cell>
        </row>
        <row r="837">
          <cell r="B837">
            <v>1512113</v>
          </cell>
          <cell r="C837">
            <v>2</v>
          </cell>
          <cell r="E837">
            <v>53000000</v>
          </cell>
          <cell r="G837">
            <v>60583595</v>
          </cell>
        </row>
        <row r="838">
          <cell r="B838">
            <v>1512113</v>
          </cell>
          <cell r="C838">
            <v>8</v>
          </cell>
          <cell r="E838">
            <v>2000000000</v>
          </cell>
          <cell r="G838">
            <v>2133333333</v>
          </cell>
        </row>
        <row r="839">
          <cell r="B839" t="str">
            <v>chap</v>
          </cell>
          <cell r="C839">
            <v>15122</v>
          </cell>
          <cell r="E839">
            <v>6413268046.6499996</v>
          </cell>
          <cell r="G839">
            <v>7459125471</v>
          </cell>
        </row>
        <row r="840">
          <cell r="B840" t="str">
            <v>SECTION</v>
          </cell>
          <cell r="C840">
            <v>1512211</v>
          </cell>
          <cell r="E840">
            <v>199220614.87</v>
          </cell>
          <cell r="G840">
            <v>251266515</v>
          </cell>
        </row>
        <row r="841">
          <cell r="B841">
            <v>1512211</v>
          </cell>
          <cell r="C841">
            <v>2</v>
          </cell>
          <cell r="E841">
            <v>84668252.25</v>
          </cell>
          <cell r="G841">
            <v>90719304</v>
          </cell>
        </row>
        <row r="842">
          <cell r="B842">
            <v>1512211</v>
          </cell>
          <cell r="C842">
            <v>8</v>
          </cell>
          <cell r="E842">
            <v>114552362.62</v>
          </cell>
          <cell r="G842">
            <v>160547211</v>
          </cell>
        </row>
        <row r="843">
          <cell r="B843" t="str">
            <v>SECTION</v>
          </cell>
          <cell r="C843">
            <v>1512212</v>
          </cell>
          <cell r="E843">
            <v>6214047431.7799997</v>
          </cell>
          <cell r="G843">
            <v>7207858956</v>
          </cell>
        </row>
        <row r="844">
          <cell r="B844">
            <v>1512212</v>
          </cell>
          <cell r="C844">
            <v>2</v>
          </cell>
          <cell r="E844">
            <v>1281237002.5</v>
          </cell>
          <cell r="G844">
            <v>1478372582</v>
          </cell>
        </row>
        <row r="845">
          <cell r="B845">
            <v>1512212</v>
          </cell>
          <cell r="C845">
            <v>8</v>
          </cell>
          <cell r="E845">
            <v>4932810429.2799997</v>
          </cell>
          <cell r="G845">
            <v>5729486374</v>
          </cell>
        </row>
        <row r="846">
          <cell r="B846" t="str">
            <v>SECTION</v>
          </cell>
          <cell r="C846">
            <v>1512213</v>
          </cell>
          <cell r="E846">
            <v>0</v>
          </cell>
          <cell r="G846">
            <v>0</v>
          </cell>
        </row>
        <row r="847">
          <cell r="B847">
            <v>1512213</v>
          </cell>
          <cell r="C847">
            <v>8</v>
          </cell>
          <cell r="E847">
            <v>0</v>
          </cell>
          <cell r="G847">
            <v>0</v>
          </cell>
        </row>
        <row r="848">
          <cell r="B848" t="str">
            <v>POUVOIR</v>
          </cell>
          <cell r="C848">
            <v>2</v>
          </cell>
          <cell r="E848">
            <v>3281686455.3154068</v>
          </cell>
          <cell r="G848">
            <v>5662643489.0344601</v>
          </cell>
        </row>
        <row r="849">
          <cell r="B849" t="str">
            <v>MIN</v>
          </cell>
          <cell r="C849">
            <v>2211</v>
          </cell>
          <cell r="E849">
            <v>1129424683.352</v>
          </cell>
          <cell r="G849">
            <v>2030859901.1819999</v>
          </cell>
        </row>
        <row r="850">
          <cell r="B850" t="str">
            <v>chap</v>
          </cell>
          <cell r="C850">
            <v>22111</v>
          </cell>
          <cell r="E850">
            <v>1129424683.352</v>
          </cell>
          <cell r="G850">
            <v>2030859901.1819999</v>
          </cell>
        </row>
        <row r="851">
          <cell r="B851" t="str">
            <v>SECTION</v>
          </cell>
          <cell r="C851">
            <v>2211111</v>
          </cell>
          <cell r="E851">
            <v>1129424683.352</v>
          </cell>
          <cell r="G851">
            <v>2030859901.1819999</v>
          </cell>
        </row>
        <row r="852">
          <cell r="B852">
            <v>2211111</v>
          </cell>
          <cell r="C852">
            <v>1</v>
          </cell>
          <cell r="E852">
            <v>678938949.03999984</v>
          </cell>
          <cell r="G852">
            <v>1220509900.4400001</v>
          </cell>
        </row>
        <row r="853">
          <cell r="B853">
            <v>2211111</v>
          </cell>
          <cell r="C853">
            <v>2</v>
          </cell>
          <cell r="E853">
            <v>131865734.215</v>
          </cell>
          <cell r="G853">
            <v>219350000.215</v>
          </cell>
        </row>
        <row r="854">
          <cell r="B854">
            <v>2211111</v>
          </cell>
          <cell r="C854">
            <v>3</v>
          </cell>
          <cell r="E854">
            <v>86500000.303000003</v>
          </cell>
          <cell r="G854">
            <v>181500000.303</v>
          </cell>
        </row>
        <row r="855">
          <cell r="B855">
            <v>2211111</v>
          </cell>
          <cell r="C855">
            <v>4</v>
          </cell>
          <cell r="E855">
            <v>55000000.024000011</v>
          </cell>
          <cell r="G855">
            <v>113500000.25400001</v>
          </cell>
        </row>
        <row r="856">
          <cell r="B856">
            <v>2211111</v>
          </cell>
          <cell r="C856">
            <v>5</v>
          </cell>
          <cell r="E856">
            <v>0</v>
          </cell>
          <cell r="G856">
            <v>1000000</v>
          </cell>
        </row>
        <row r="857">
          <cell r="B857">
            <v>2211111</v>
          </cell>
          <cell r="C857">
            <v>7</v>
          </cell>
          <cell r="E857">
            <v>146119999.80000001</v>
          </cell>
          <cell r="G857">
            <v>263000000</v>
          </cell>
        </row>
        <row r="858">
          <cell r="B858">
            <v>2211111</v>
          </cell>
          <cell r="C858">
            <v>9</v>
          </cell>
          <cell r="E858">
            <v>30999999.969999999</v>
          </cell>
          <cell r="G858">
            <v>31999999.969999999</v>
          </cell>
        </row>
        <row r="859">
          <cell r="B859" t="str">
            <v>MIN</v>
          </cell>
          <cell r="C859">
            <v>2212</v>
          </cell>
          <cell r="E859">
            <v>2152261771.9634066</v>
          </cell>
          <cell r="G859">
            <v>3631783587.8524599</v>
          </cell>
        </row>
        <row r="860">
          <cell r="B860" t="str">
            <v>chap</v>
          </cell>
          <cell r="C860">
            <v>22121</v>
          </cell>
          <cell r="E860">
            <v>2152261771.9634066</v>
          </cell>
          <cell r="G860">
            <v>3631783587.8524599</v>
          </cell>
        </row>
        <row r="861">
          <cell r="B861" t="str">
            <v>SECTION</v>
          </cell>
          <cell r="C861">
            <v>2212111</v>
          </cell>
          <cell r="E861">
            <v>666793925.28521693</v>
          </cell>
          <cell r="G861">
            <v>1560195459.9372702</v>
          </cell>
        </row>
        <row r="862">
          <cell r="B862">
            <v>2212111</v>
          </cell>
          <cell r="C862">
            <v>1</v>
          </cell>
          <cell r="E862">
            <v>523966925.32857645</v>
          </cell>
          <cell r="G862">
            <v>1169534173.75881</v>
          </cell>
        </row>
        <row r="863">
          <cell r="B863">
            <v>2212111</v>
          </cell>
          <cell r="C863">
            <v>2</v>
          </cell>
          <cell r="E863">
            <v>81574499.998180479</v>
          </cell>
          <cell r="G863">
            <v>157399572.20999998</v>
          </cell>
        </row>
        <row r="864">
          <cell r="B864">
            <v>2212111</v>
          </cell>
          <cell r="C864">
            <v>3</v>
          </cell>
          <cell r="E864">
            <v>61252499.625460014</v>
          </cell>
          <cell r="G864">
            <v>229891713.65546003</v>
          </cell>
        </row>
        <row r="865">
          <cell r="B865">
            <v>2212111</v>
          </cell>
          <cell r="C865">
            <v>4</v>
          </cell>
          <cell r="E865">
            <v>0</v>
          </cell>
          <cell r="G865">
            <v>3369999.9800000004</v>
          </cell>
        </row>
        <row r="866">
          <cell r="B866">
            <v>2212111</v>
          </cell>
          <cell r="C866">
            <v>5</v>
          </cell>
          <cell r="E866">
            <v>0</v>
          </cell>
          <cell r="G866">
            <v>0</v>
          </cell>
        </row>
        <row r="867">
          <cell r="B867">
            <v>2212111</v>
          </cell>
          <cell r="C867">
            <v>7</v>
          </cell>
          <cell r="E867">
            <v>0</v>
          </cell>
          <cell r="G867">
            <v>0</v>
          </cell>
        </row>
        <row r="868">
          <cell r="B868">
            <v>2212111</v>
          </cell>
          <cell r="C868">
            <v>9</v>
          </cell>
          <cell r="E868">
            <v>0.33300000000000007</v>
          </cell>
          <cell r="G868">
            <v>0.33300000000000007</v>
          </cell>
        </row>
        <row r="869">
          <cell r="B869" t="str">
            <v>SECTION</v>
          </cell>
          <cell r="C869">
            <v>2212112</v>
          </cell>
          <cell r="E869">
            <v>53585320.519547343</v>
          </cell>
          <cell r="G869">
            <v>139520558.06954736</v>
          </cell>
        </row>
        <row r="870">
          <cell r="B870">
            <v>2212112</v>
          </cell>
          <cell r="C870">
            <v>1</v>
          </cell>
          <cell r="E870">
            <v>53585320.402547345</v>
          </cell>
          <cell r="G870">
            <v>66230558.402547345</v>
          </cell>
        </row>
        <row r="871">
          <cell r="B871">
            <v>2212112</v>
          </cell>
          <cell r="C871">
            <v>2</v>
          </cell>
          <cell r="E871">
            <v>0</v>
          </cell>
          <cell r="G871">
            <v>53700000</v>
          </cell>
        </row>
        <row r="872">
          <cell r="B872">
            <v>2212112</v>
          </cell>
          <cell r="C872">
            <v>3</v>
          </cell>
          <cell r="E872">
            <v>0</v>
          </cell>
          <cell r="G872">
            <v>0</v>
          </cell>
        </row>
        <row r="873">
          <cell r="B873">
            <v>2212112</v>
          </cell>
          <cell r="C873">
            <v>4</v>
          </cell>
          <cell r="E873">
            <v>0</v>
          </cell>
          <cell r="G873">
            <v>0</v>
          </cell>
        </row>
        <row r="874">
          <cell r="B874">
            <v>2212112</v>
          </cell>
          <cell r="C874">
            <v>5</v>
          </cell>
          <cell r="E874">
            <v>0</v>
          </cell>
          <cell r="G874">
            <v>0</v>
          </cell>
        </row>
        <row r="875">
          <cell r="B875">
            <v>2212112</v>
          </cell>
          <cell r="C875">
            <v>7</v>
          </cell>
          <cell r="E875">
            <v>0</v>
          </cell>
          <cell r="G875">
            <v>19590000</v>
          </cell>
        </row>
        <row r="876">
          <cell r="B876">
            <v>2212112</v>
          </cell>
          <cell r="C876">
            <v>9</v>
          </cell>
          <cell r="E876">
            <v>0.11700000000000002</v>
          </cell>
          <cell r="G876">
            <v>-0.33300001919269562</v>
          </cell>
        </row>
        <row r="877">
          <cell r="B877" t="str">
            <v>SECTION</v>
          </cell>
          <cell r="C877">
            <v>2212211</v>
          </cell>
          <cell r="E877">
            <v>1431882526.1586425</v>
          </cell>
          <cell r="G877">
            <v>1932067569.8456426</v>
          </cell>
        </row>
        <row r="878">
          <cell r="B878">
            <v>2212211</v>
          </cell>
          <cell r="C878">
            <v>1</v>
          </cell>
          <cell r="E878">
            <v>853598022.83864236</v>
          </cell>
          <cell r="G878">
            <v>1047018579.8386426</v>
          </cell>
        </row>
        <row r="879">
          <cell r="B879">
            <v>2212211</v>
          </cell>
          <cell r="C879">
            <v>2</v>
          </cell>
          <cell r="E879">
            <v>115352097.84000002</v>
          </cell>
          <cell r="G879">
            <v>156788195.78999999</v>
          </cell>
        </row>
        <row r="880">
          <cell r="B880">
            <v>2212211</v>
          </cell>
          <cell r="C880">
            <v>3</v>
          </cell>
          <cell r="E880">
            <v>114481908.08000001</v>
          </cell>
          <cell r="G880">
            <v>123659131.86999997</v>
          </cell>
        </row>
        <row r="881">
          <cell r="B881">
            <v>2212211</v>
          </cell>
          <cell r="C881">
            <v>4</v>
          </cell>
          <cell r="E881">
            <v>87250499.680000007</v>
          </cell>
          <cell r="G881">
            <v>41461674.680000007</v>
          </cell>
        </row>
        <row r="882">
          <cell r="B882">
            <v>2212211</v>
          </cell>
          <cell r="C882">
            <v>5</v>
          </cell>
          <cell r="E882">
            <v>929999</v>
          </cell>
          <cell r="G882">
            <v>2629988</v>
          </cell>
        </row>
        <row r="883">
          <cell r="B883">
            <v>2212211</v>
          </cell>
          <cell r="C883">
            <v>7</v>
          </cell>
          <cell r="E883">
            <v>85469999.719999999</v>
          </cell>
          <cell r="G883">
            <v>560510000</v>
          </cell>
        </row>
        <row r="884">
          <cell r="B884">
            <v>2212211</v>
          </cell>
          <cell r="C884">
            <v>9</v>
          </cell>
          <cell r="E884">
            <v>174799999</v>
          </cell>
          <cell r="G884">
            <v>-0.33300001919269562</v>
          </cell>
        </row>
        <row r="885">
          <cell r="B885" t="str">
            <v>POUVOIR</v>
          </cell>
          <cell r="C885">
            <v>3</v>
          </cell>
          <cell r="E885">
            <v>1040742940.3790002</v>
          </cell>
          <cell r="G885">
            <v>1122648802.5300002</v>
          </cell>
        </row>
        <row r="886">
          <cell r="B886" t="str">
            <v>MIN</v>
          </cell>
          <cell r="C886">
            <v>3211</v>
          </cell>
          <cell r="E886">
            <v>1040742940.3790002</v>
          </cell>
          <cell r="G886">
            <v>1122648802.5300002</v>
          </cell>
        </row>
        <row r="887">
          <cell r="B887" t="str">
            <v>chap</v>
          </cell>
          <cell r="C887">
            <v>32111</v>
          </cell>
          <cell r="E887">
            <v>1040742940.3790002</v>
          </cell>
          <cell r="G887">
            <v>1122648802.5300002</v>
          </cell>
        </row>
        <row r="888">
          <cell r="B888" t="str">
            <v>SECTION</v>
          </cell>
          <cell r="C888">
            <v>3211111</v>
          </cell>
          <cell r="E888">
            <v>175039021.604</v>
          </cell>
          <cell r="G888">
            <v>229057886.745</v>
          </cell>
        </row>
        <row r="889">
          <cell r="B889">
            <v>3211111</v>
          </cell>
          <cell r="C889">
            <v>1</v>
          </cell>
          <cell r="E889">
            <v>127495021</v>
          </cell>
          <cell r="G889">
            <v>134495021</v>
          </cell>
        </row>
        <row r="890">
          <cell r="B890">
            <v>3211111</v>
          </cell>
          <cell r="C890">
            <v>2</v>
          </cell>
          <cell r="E890">
            <v>16299999.864</v>
          </cell>
          <cell r="G890">
            <v>16299999.864</v>
          </cell>
        </row>
        <row r="891">
          <cell r="B891">
            <v>3211111</v>
          </cell>
          <cell r="C891">
            <v>3</v>
          </cell>
          <cell r="E891">
            <v>15400000.739999998</v>
          </cell>
          <cell r="G891">
            <v>15400000.739999998</v>
          </cell>
        </row>
        <row r="892">
          <cell r="B892">
            <v>3211111</v>
          </cell>
          <cell r="C892">
            <v>4</v>
          </cell>
          <cell r="E892">
            <v>8000000</v>
          </cell>
          <cell r="G892">
            <v>8000000</v>
          </cell>
        </row>
        <row r="893">
          <cell r="B893">
            <v>3211111</v>
          </cell>
          <cell r="C893">
            <v>5</v>
          </cell>
          <cell r="E893">
            <v>0</v>
          </cell>
          <cell r="G893">
            <v>0</v>
          </cell>
        </row>
        <row r="894">
          <cell r="B894">
            <v>3211111</v>
          </cell>
          <cell r="C894">
            <v>7</v>
          </cell>
          <cell r="E894">
            <v>500000</v>
          </cell>
          <cell r="G894">
            <v>500000</v>
          </cell>
        </row>
        <row r="895">
          <cell r="B895">
            <v>3211111</v>
          </cell>
          <cell r="C895">
            <v>9</v>
          </cell>
          <cell r="E895">
            <v>7344000</v>
          </cell>
          <cell r="G895">
            <v>54362865.141000003</v>
          </cell>
        </row>
        <row r="896">
          <cell r="B896" t="str">
            <v>SECTION</v>
          </cell>
          <cell r="C896">
            <v>3211212</v>
          </cell>
          <cell r="E896">
            <v>104387457.64000002</v>
          </cell>
          <cell r="G896">
            <v>137218574.41</v>
          </cell>
        </row>
        <row r="897">
          <cell r="B897">
            <v>3211212</v>
          </cell>
          <cell r="C897">
            <v>1</v>
          </cell>
          <cell r="E897">
            <v>71694609.320000008</v>
          </cell>
          <cell r="G897">
            <v>83694529.319999993</v>
          </cell>
        </row>
        <row r="898">
          <cell r="B898">
            <v>3211212</v>
          </cell>
          <cell r="C898">
            <v>2</v>
          </cell>
          <cell r="E898">
            <v>3769196.2800000003</v>
          </cell>
          <cell r="G898">
            <v>13769127.52</v>
          </cell>
        </row>
        <row r="899">
          <cell r="B899">
            <v>3211212</v>
          </cell>
          <cell r="C899">
            <v>3</v>
          </cell>
          <cell r="E899">
            <v>11607767.759999998</v>
          </cell>
          <cell r="G899">
            <v>15407695.789999999</v>
          </cell>
        </row>
        <row r="900">
          <cell r="B900">
            <v>3211212</v>
          </cell>
          <cell r="C900">
            <v>4</v>
          </cell>
          <cell r="E900">
            <v>10634742.719999999</v>
          </cell>
          <cell r="G900">
            <v>15781393.719999999</v>
          </cell>
        </row>
        <row r="901">
          <cell r="B901">
            <v>3211212</v>
          </cell>
          <cell r="C901">
            <v>5</v>
          </cell>
          <cell r="E901">
            <v>0</v>
          </cell>
          <cell r="G901">
            <v>0</v>
          </cell>
        </row>
        <row r="902">
          <cell r="B902">
            <v>3211212</v>
          </cell>
          <cell r="C902">
            <v>7</v>
          </cell>
          <cell r="E902">
            <v>280190.28000000003</v>
          </cell>
          <cell r="G902">
            <v>664896.28</v>
          </cell>
        </row>
        <row r="903">
          <cell r="B903">
            <v>3211212</v>
          </cell>
          <cell r="C903">
            <v>9</v>
          </cell>
          <cell r="E903">
            <v>6400951.2800000003</v>
          </cell>
          <cell r="G903">
            <v>7900931.7800000012</v>
          </cell>
        </row>
        <row r="904">
          <cell r="B904" t="str">
            <v>SECTION</v>
          </cell>
          <cell r="C904">
            <v>3211213</v>
          </cell>
          <cell r="E904">
            <v>65291086.209000006</v>
          </cell>
          <cell r="G904">
            <v>70002960.449000001</v>
          </cell>
        </row>
        <row r="905">
          <cell r="B905">
            <v>3211213</v>
          </cell>
          <cell r="C905">
            <v>1</v>
          </cell>
          <cell r="E905">
            <v>51877226.759999998</v>
          </cell>
          <cell r="G905">
            <v>59040903.759999998</v>
          </cell>
        </row>
        <row r="906">
          <cell r="B906">
            <v>3211213</v>
          </cell>
          <cell r="C906">
            <v>2</v>
          </cell>
          <cell r="E906">
            <v>1271811.0999999999</v>
          </cell>
          <cell r="G906">
            <v>752045.60999999975</v>
          </cell>
        </row>
        <row r="907">
          <cell r="B907">
            <v>3211213</v>
          </cell>
          <cell r="C907">
            <v>3</v>
          </cell>
          <cell r="E907">
            <v>5442047.8689999999</v>
          </cell>
          <cell r="G907">
            <v>5008919.3389999997</v>
          </cell>
        </row>
        <row r="908">
          <cell r="B908">
            <v>3211213</v>
          </cell>
          <cell r="C908">
            <v>4</v>
          </cell>
          <cell r="E908">
            <v>6400000.4800000004</v>
          </cell>
          <cell r="G908">
            <v>4976734.74</v>
          </cell>
        </row>
        <row r="909">
          <cell r="B909">
            <v>3211213</v>
          </cell>
          <cell r="C909">
            <v>5</v>
          </cell>
          <cell r="E909">
            <v>0</v>
          </cell>
          <cell r="G909">
            <v>0</v>
          </cell>
        </row>
        <row r="910">
          <cell r="B910">
            <v>3211213</v>
          </cell>
          <cell r="C910">
            <v>7</v>
          </cell>
          <cell r="E910">
            <v>0</v>
          </cell>
          <cell r="G910">
            <v>0</v>
          </cell>
        </row>
        <row r="911">
          <cell r="B911">
            <v>3211213</v>
          </cell>
          <cell r="C911">
            <v>9</v>
          </cell>
          <cell r="E911">
            <v>300000</v>
          </cell>
          <cell r="G911">
            <v>224357</v>
          </cell>
        </row>
        <row r="912">
          <cell r="B912" t="str">
            <v>SECTION</v>
          </cell>
          <cell r="C912">
            <v>3211214</v>
          </cell>
          <cell r="E912">
            <v>696025374.92600012</v>
          </cell>
          <cell r="G912">
            <v>686369380.92600012</v>
          </cell>
        </row>
        <row r="913">
          <cell r="B913">
            <v>3211214</v>
          </cell>
          <cell r="C913">
            <v>1</v>
          </cell>
          <cell r="E913">
            <v>585855429.04999995</v>
          </cell>
          <cell r="G913">
            <v>585855429.04999995</v>
          </cell>
        </row>
        <row r="914">
          <cell r="B914">
            <v>3211214</v>
          </cell>
          <cell r="C914">
            <v>2</v>
          </cell>
          <cell r="E914">
            <v>17183323.940000005</v>
          </cell>
          <cell r="G914">
            <v>26074491.940000005</v>
          </cell>
        </row>
        <row r="915">
          <cell r="B915">
            <v>3211214</v>
          </cell>
          <cell r="C915">
            <v>3</v>
          </cell>
          <cell r="E915">
            <v>29386621.479999997</v>
          </cell>
          <cell r="G915">
            <v>37639496.479999997</v>
          </cell>
        </row>
        <row r="916">
          <cell r="B916">
            <v>3211214</v>
          </cell>
          <cell r="C916">
            <v>4</v>
          </cell>
          <cell r="E916">
            <v>28000000.791999999</v>
          </cell>
          <cell r="G916">
            <v>17999971.791999999</v>
          </cell>
        </row>
        <row r="917">
          <cell r="B917">
            <v>3211214</v>
          </cell>
          <cell r="C917">
            <v>5</v>
          </cell>
          <cell r="E917">
            <v>0</v>
          </cell>
          <cell r="G917">
            <v>0</v>
          </cell>
        </row>
        <row r="918">
          <cell r="B918">
            <v>3211214</v>
          </cell>
          <cell r="C918">
            <v>7</v>
          </cell>
          <cell r="E918">
            <v>0</v>
          </cell>
          <cell r="G918">
            <v>0</v>
          </cell>
        </row>
        <row r="919">
          <cell r="B919">
            <v>3211214</v>
          </cell>
          <cell r="C919">
            <v>9</v>
          </cell>
          <cell r="E919">
            <v>35599999.664000005</v>
          </cell>
          <cell r="G919">
            <v>18799991.664000005</v>
          </cell>
        </row>
        <row r="920">
          <cell r="B920" t="str">
            <v>POUVOIR</v>
          </cell>
          <cell r="C920">
            <v>4</v>
          </cell>
          <cell r="E920">
            <v>2177786613.0379996</v>
          </cell>
          <cell r="G920">
            <v>2492636481.0379996</v>
          </cell>
        </row>
        <row r="921">
          <cell r="B921" t="str">
            <v>MIN</v>
          </cell>
          <cell r="C921">
            <v>4111</v>
          </cell>
          <cell r="E921">
            <v>643514631.55999982</v>
          </cell>
          <cell r="G921">
            <v>693364543.55999982</v>
          </cell>
        </row>
        <row r="922">
          <cell r="B922" t="str">
            <v>chap</v>
          </cell>
          <cell r="C922">
            <v>41111</v>
          </cell>
          <cell r="E922">
            <v>643514631.55999982</v>
          </cell>
          <cell r="G922">
            <v>693364543.55999982</v>
          </cell>
        </row>
        <row r="923">
          <cell r="B923" t="str">
            <v>SECTION</v>
          </cell>
          <cell r="C923">
            <v>4111111</v>
          </cell>
          <cell r="E923">
            <v>643514631.55999982</v>
          </cell>
          <cell r="G923">
            <v>693364543.55999982</v>
          </cell>
        </row>
        <row r="924">
          <cell r="B924">
            <v>4111111</v>
          </cell>
          <cell r="C924">
            <v>1</v>
          </cell>
          <cell r="E924">
            <v>426550909.15999979</v>
          </cell>
          <cell r="G924">
            <v>426550836.15999979</v>
          </cell>
        </row>
        <row r="925">
          <cell r="B925">
            <v>4111111</v>
          </cell>
          <cell r="C925">
            <v>2</v>
          </cell>
          <cell r="E925">
            <v>39097608.439999998</v>
          </cell>
          <cell r="G925">
            <v>32257963.439999998</v>
          </cell>
        </row>
        <row r="926">
          <cell r="B926">
            <v>4111111</v>
          </cell>
          <cell r="C926">
            <v>3</v>
          </cell>
          <cell r="E926">
            <v>19371954.719999999</v>
          </cell>
          <cell r="G926">
            <v>26211599.719999999</v>
          </cell>
        </row>
        <row r="927">
          <cell r="B927">
            <v>4111111</v>
          </cell>
          <cell r="C927">
            <v>4</v>
          </cell>
          <cell r="E927">
            <v>12205253.199999999</v>
          </cell>
          <cell r="G927">
            <v>12205237.199999999</v>
          </cell>
        </row>
        <row r="928">
          <cell r="B928">
            <v>4111111</v>
          </cell>
          <cell r="C928">
            <v>5</v>
          </cell>
          <cell r="E928">
            <v>0</v>
          </cell>
          <cell r="G928">
            <v>0</v>
          </cell>
        </row>
        <row r="929">
          <cell r="B929">
            <v>4111111</v>
          </cell>
          <cell r="C929">
            <v>7</v>
          </cell>
          <cell r="E929">
            <v>581157.12000000011</v>
          </cell>
          <cell r="G929">
            <v>431157.12000000011</v>
          </cell>
        </row>
        <row r="930">
          <cell r="B930">
            <v>4111111</v>
          </cell>
          <cell r="C930">
            <v>9</v>
          </cell>
          <cell r="E930">
            <v>145707748.92000002</v>
          </cell>
          <cell r="G930">
            <v>195707749.92000002</v>
          </cell>
        </row>
        <row r="931">
          <cell r="B931" t="str">
            <v>MIN</v>
          </cell>
          <cell r="C931">
            <v>4211</v>
          </cell>
          <cell r="E931">
            <v>391240781.69999993</v>
          </cell>
          <cell r="G931">
            <v>406240737.69999993</v>
          </cell>
        </row>
        <row r="932">
          <cell r="B932" t="str">
            <v>chap</v>
          </cell>
          <cell r="C932">
            <v>42111</v>
          </cell>
          <cell r="E932">
            <v>391240781.69999993</v>
          </cell>
          <cell r="G932">
            <v>406240737.69999993</v>
          </cell>
        </row>
        <row r="933">
          <cell r="B933" t="str">
            <v>SECTION</v>
          </cell>
          <cell r="C933">
            <v>4211111</v>
          </cell>
          <cell r="E933">
            <v>391240781.69999993</v>
          </cell>
          <cell r="G933">
            <v>406240737.69999993</v>
          </cell>
        </row>
        <row r="934">
          <cell r="B934">
            <v>4211111</v>
          </cell>
          <cell r="C934">
            <v>1</v>
          </cell>
          <cell r="E934">
            <v>307128594.99999994</v>
          </cell>
          <cell r="G934">
            <v>307128594.99999994</v>
          </cell>
        </row>
        <row r="935">
          <cell r="B935">
            <v>4211111</v>
          </cell>
          <cell r="C935">
            <v>2</v>
          </cell>
          <cell r="E935">
            <v>15377952.999999996</v>
          </cell>
          <cell r="G935">
            <v>15377952.999999996</v>
          </cell>
        </row>
        <row r="936">
          <cell r="B936">
            <v>4211111</v>
          </cell>
          <cell r="C936">
            <v>3</v>
          </cell>
          <cell r="E936">
            <v>12934231</v>
          </cell>
          <cell r="G936">
            <v>13834200</v>
          </cell>
        </row>
        <row r="937">
          <cell r="B937">
            <v>4211111</v>
          </cell>
          <cell r="C937">
            <v>4</v>
          </cell>
          <cell r="E937">
            <v>9500001.7000000011</v>
          </cell>
          <cell r="G937">
            <v>9500001.7000000011</v>
          </cell>
        </row>
        <row r="938">
          <cell r="B938">
            <v>4211111</v>
          </cell>
          <cell r="C938">
            <v>5</v>
          </cell>
          <cell r="E938">
            <v>0</v>
          </cell>
          <cell r="G938">
            <v>0</v>
          </cell>
        </row>
        <row r="939">
          <cell r="B939">
            <v>4211111</v>
          </cell>
          <cell r="C939">
            <v>7</v>
          </cell>
          <cell r="E939">
            <v>0</v>
          </cell>
          <cell r="G939">
            <v>0</v>
          </cell>
        </row>
        <row r="940">
          <cell r="B940">
            <v>4211111</v>
          </cell>
          <cell r="C940">
            <v>9</v>
          </cell>
          <cell r="E940">
            <v>46300001</v>
          </cell>
          <cell r="G940">
            <v>60399988</v>
          </cell>
        </row>
        <row r="941">
          <cell r="B941" t="str">
            <v>MIN</v>
          </cell>
          <cell r="C941">
            <v>4212</v>
          </cell>
          <cell r="E941">
            <v>48000000</v>
          </cell>
          <cell r="G941">
            <v>55000000</v>
          </cell>
        </row>
        <row r="942">
          <cell r="B942" t="str">
            <v>chap</v>
          </cell>
          <cell r="C942">
            <v>42121</v>
          </cell>
          <cell r="E942">
            <v>48000000</v>
          </cell>
          <cell r="G942">
            <v>55000000</v>
          </cell>
        </row>
        <row r="943">
          <cell r="B943" t="str">
            <v>SECTION</v>
          </cell>
          <cell r="C943">
            <v>4212112</v>
          </cell>
          <cell r="E943">
            <v>48000000</v>
          </cell>
          <cell r="G943">
            <v>55000000</v>
          </cell>
        </row>
        <row r="944">
          <cell r="B944">
            <v>4212112</v>
          </cell>
          <cell r="C944">
            <v>1</v>
          </cell>
          <cell r="E944">
            <v>26949736.960000001</v>
          </cell>
          <cell r="G944">
            <v>30499333.960000001</v>
          </cell>
        </row>
        <row r="945">
          <cell r="B945">
            <v>4212112</v>
          </cell>
          <cell r="C945">
            <v>2</v>
          </cell>
          <cell r="E945">
            <v>9305263.0399999991</v>
          </cell>
          <cell r="G945">
            <v>9305263.0399999991</v>
          </cell>
        </row>
        <row r="946">
          <cell r="B946">
            <v>4212112</v>
          </cell>
          <cell r="C946">
            <v>3</v>
          </cell>
          <cell r="E946">
            <v>3570000</v>
          </cell>
          <cell r="G946">
            <v>3570000</v>
          </cell>
        </row>
        <row r="947">
          <cell r="B947">
            <v>4212112</v>
          </cell>
          <cell r="C947">
            <v>4</v>
          </cell>
          <cell r="E947">
            <v>4175000</v>
          </cell>
          <cell r="G947">
            <v>7175000</v>
          </cell>
        </row>
        <row r="948">
          <cell r="B948">
            <v>4212112</v>
          </cell>
          <cell r="C948">
            <v>5</v>
          </cell>
          <cell r="E948">
            <v>0</v>
          </cell>
          <cell r="G948">
            <v>0</v>
          </cell>
        </row>
        <row r="949">
          <cell r="B949">
            <v>4212112</v>
          </cell>
          <cell r="C949">
            <v>7</v>
          </cell>
          <cell r="E949">
            <v>0</v>
          </cell>
          <cell r="G949">
            <v>0</v>
          </cell>
        </row>
        <row r="950">
          <cell r="B950">
            <v>4212112</v>
          </cell>
          <cell r="C950">
            <v>9</v>
          </cell>
          <cell r="E950">
            <v>4000000</v>
          </cell>
          <cell r="G950">
            <v>4450403</v>
          </cell>
        </row>
        <row r="951">
          <cell r="B951" t="str">
            <v>MIN</v>
          </cell>
          <cell r="C951">
            <v>4311</v>
          </cell>
          <cell r="E951">
            <v>1069999999.7779999</v>
          </cell>
          <cell r="G951">
            <v>1302999999.7779999</v>
          </cell>
        </row>
        <row r="952">
          <cell r="B952" t="str">
            <v>chap</v>
          </cell>
          <cell r="C952">
            <v>43111</v>
          </cell>
          <cell r="E952">
            <v>1069999999.7779999</v>
          </cell>
          <cell r="G952">
            <v>1302999999.7779999</v>
          </cell>
        </row>
        <row r="953">
          <cell r="B953" t="str">
            <v>SECTION</v>
          </cell>
          <cell r="C953">
            <v>4311111</v>
          </cell>
          <cell r="E953">
            <v>1069999999.7779999</v>
          </cell>
          <cell r="G953">
            <v>1302999999.7779999</v>
          </cell>
        </row>
        <row r="954">
          <cell r="B954">
            <v>4311111</v>
          </cell>
          <cell r="C954">
            <v>1</v>
          </cell>
          <cell r="E954">
            <v>921317342.7579999</v>
          </cell>
          <cell r="G954">
            <v>1062817342.7579999</v>
          </cell>
        </row>
        <row r="955">
          <cell r="B955">
            <v>4311111</v>
          </cell>
          <cell r="C955">
            <v>2</v>
          </cell>
          <cell r="E955">
            <v>148682657.02000001</v>
          </cell>
          <cell r="G955">
            <v>240182657.02000001</v>
          </cell>
        </row>
        <row r="956">
          <cell r="B956">
            <v>4311111</v>
          </cell>
          <cell r="C956">
            <v>7</v>
          </cell>
          <cell r="E956">
            <v>0</v>
          </cell>
          <cell r="G956">
            <v>0</v>
          </cell>
        </row>
        <row r="957">
          <cell r="B957" t="str">
            <v>MIN</v>
          </cell>
          <cell r="C957">
            <v>4411</v>
          </cell>
          <cell r="D957" t="str">
            <v xml:space="preserve">ACADEMIE DU CREOLE HAITIEN </v>
          </cell>
          <cell r="E957">
            <v>25031200</v>
          </cell>
          <cell r="G957">
            <v>35031200</v>
          </cell>
        </row>
        <row r="958">
          <cell r="B958" t="str">
            <v>chap</v>
          </cell>
          <cell r="C958">
            <v>44111</v>
          </cell>
          <cell r="D958" t="str">
            <v>SERVICES INTERNES</v>
          </cell>
          <cell r="E958">
            <v>25031200</v>
          </cell>
          <cell r="G958">
            <v>35031200</v>
          </cell>
        </row>
        <row r="959">
          <cell r="B959" t="str">
            <v>SECTION</v>
          </cell>
          <cell r="C959">
            <v>4411111</v>
          </cell>
          <cell r="D959" t="str">
            <v>SECRETARIAT TECHNIQUE DE L'ACADEMIE DU CREOLE HAITIEN</v>
          </cell>
          <cell r="E959">
            <v>25031200</v>
          </cell>
          <cell r="G959">
            <v>35031200</v>
          </cell>
        </row>
        <row r="960">
          <cell r="B960">
            <v>4411111</v>
          </cell>
          <cell r="C960">
            <v>1</v>
          </cell>
          <cell r="E960">
            <v>15032658.33</v>
          </cell>
          <cell r="G960">
            <v>20063858.329999998</v>
          </cell>
        </row>
        <row r="961">
          <cell r="B961">
            <v>4411111</v>
          </cell>
          <cell r="C961">
            <v>2</v>
          </cell>
          <cell r="E961">
            <v>9998541.6699999999</v>
          </cell>
          <cell r="G961">
            <v>14967341.67</v>
          </cell>
        </row>
        <row r="962">
          <cell r="B962">
            <v>4411111</v>
          </cell>
          <cell r="C962">
            <v>7</v>
          </cell>
          <cell r="E962">
            <v>0</v>
          </cell>
          <cell r="G962">
            <v>0</v>
          </cell>
        </row>
        <row r="984">
          <cell r="J984" t="e">
            <v>#VALUE!</v>
          </cell>
          <cell r="K984">
            <v>663755452.97000003</v>
          </cell>
          <cell r="L984">
            <v>634416727.29000008</v>
          </cell>
          <cell r="M984">
            <v>1001096613.7299997</v>
          </cell>
          <cell r="N984">
            <v>0</v>
          </cell>
          <cell r="O984">
            <v>723813127.66000009</v>
          </cell>
          <cell r="P984">
            <v>340406469.47999996</v>
          </cell>
          <cell r="Q984">
            <v>423802178.60000008</v>
          </cell>
          <cell r="R984">
            <v>0</v>
          </cell>
          <cell r="S984">
            <v>0</v>
          </cell>
          <cell r="T984">
            <v>261428537.32999995</v>
          </cell>
          <cell r="U984">
            <v>752943921.16999972</v>
          </cell>
        </row>
        <row r="985">
          <cell r="J985" t="e">
            <v>#VALUE!</v>
          </cell>
          <cell r="K985">
            <v>287240638.25</v>
          </cell>
          <cell r="L985">
            <v>376921484.82999992</v>
          </cell>
          <cell r="M985">
            <v>657929962.00999999</v>
          </cell>
          <cell r="N985">
            <v>0</v>
          </cell>
          <cell r="O985">
            <v>470453649.02999997</v>
          </cell>
          <cell r="P985">
            <v>157144947.07999998</v>
          </cell>
          <cell r="Q985">
            <v>414442345.02999997</v>
          </cell>
          <cell r="R985">
            <v>0</v>
          </cell>
          <cell r="S985">
            <v>0</v>
          </cell>
          <cell r="T985">
            <v>285672511.27999997</v>
          </cell>
          <cell r="U985">
            <v>439817712.55000001</v>
          </cell>
        </row>
        <row r="990">
          <cell r="J990" t="e">
            <v>#VALUE!</v>
          </cell>
          <cell r="K990">
            <v>1047632087.8</v>
          </cell>
          <cell r="L990">
            <v>1185890083.4200001</v>
          </cell>
          <cell r="M990">
            <v>1871569907.0499997</v>
          </cell>
          <cell r="N990">
            <v>0</v>
          </cell>
          <cell r="O990">
            <v>868211263.38999999</v>
          </cell>
          <cell r="P990">
            <v>387439510.22999996</v>
          </cell>
          <cell r="Q990">
            <v>435455711.61000001</v>
          </cell>
          <cell r="R990">
            <v>0</v>
          </cell>
          <cell r="S990">
            <v>0</v>
          </cell>
          <cell r="T990">
            <v>827651337.71999991</v>
          </cell>
          <cell r="U990">
            <v>1088775435.97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CODE</v>
          </cell>
          <cell r="B1" t="str">
            <v>INSTITUTION</v>
          </cell>
        </row>
        <row r="2">
          <cell r="A2">
            <v>1111</v>
          </cell>
          <cell r="B2" t="str">
            <v>MINISTERE DE LA PLANIFICATION ET DE LA COOPERATION EXTERNE</v>
          </cell>
        </row>
        <row r="3">
          <cell r="A3">
            <v>1111111</v>
          </cell>
          <cell r="B3" t="str">
            <v>BUREAU DU MINISTRE</v>
          </cell>
        </row>
        <row r="4">
          <cell r="A4">
            <v>1111112</v>
          </cell>
          <cell r="B4" t="str">
            <v>DIRECTION GENERALE DES SERVICES INTERNES</v>
          </cell>
        </row>
        <row r="5">
          <cell r="A5">
            <v>1111213</v>
          </cell>
          <cell r="B5" t="str">
            <v>CENTRE DE TECHNI. DE PLANIF. ET D'ECONOMIE APPLIQUEE.(CTPEA)</v>
          </cell>
        </row>
        <row r="6">
          <cell r="A6">
            <v>1111214</v>
          </cell>
          <cell r="B6" t="str">
            <v>CONSEIL NATIONAL DES COOPERATIVES (CNC)</v>
          </cell>
        </row>
        <row r="7">
          <cell r="A7">
            <v>1111215</v>
          </cell>
          <cell r="B7" t="str">
            <v>CENTRE NTL DE L'INFORM. GEO SPAT.</v>
          </cell>
        </row>
        <row r="8">
          <cell r="A8">
            <v>1112</v>
          </cell>
          <cell r="B8" t="str">
            <v>MINISTERE DE L'ECONOMIE ET DES FINANCES</v>
          </cell>
        </row>
        <row r="9">
          <cell r="A9">
            <v>1112111</v>
          </cell>
          <cell r="B9" t="str">
            <v>BUREAU DU MINISTRE</v>
          </cell>
        </row>
        <row r="10">
          <cell r="A10">
            <v>1112112</v>
          </cell>
          <cell r="B10" t="str">
            <v>DIRECTION GENERALE DES SERVICES INTERNES</v>
          </cell>
        </row>
        <row r="11">
          <cell r="A11">
            <v>1112213</v>
          </cell>
          <cell r="B11" t="str">
            <v>INSTITUT HAITIEN DE STATISTIQUE ET D'INFORMATIQUE</v>
          </cell>
        </row>
        <row r="12">
          <cell r="A12">
            <v>1112214</v>
          </cell>
          <cell r="B12" t="str">
            <v>DIRECTION GENERALE DU BUDGET</v>
          </cell>
        </row>
        <row r="13">
          <cell r="A13">
            <v>1112215</v>
          </cell>
          <cell r="B13" t="str">
            <v>DIRECTION GENERALE DES IMPOTS</v>
          </cell>
        </row>
        <row r="14">
          <cell r="A14">
            <v>1112216</v>
          </cell>
          <cell r="B14" t="str">
            <v>ADMINISTRATION GENERALE DES DOUANES</v>
          </cell>
        </row>
        <row r="15">
          <cell r="A15">
            <v>1112217</v>
          </cell>
          <cell r="B15" t="str">
            <v>BUREAU DU SECRETAIRE D'ETAT AUX FINANCES</v>
          </cell>
        </row>
        <row r="16">
          <cell r="A16">
            <v>1112219</v>
          </cell>
          <cell r="B16" t="str">
            <v>FAES</v>
          </cell>
        </row>
        <row r="17">
          <cell r="A17">
            <v>1112221</v>
          </cell>
          <cell r="B17" t="str">
            <v>UNITE DE LUTTE CONTRE LA CORRUPTION</v>
          </cell>
        </row>
        <row r="18">
          <cell r="A18">
            <v>1112222</v>
          </cell>
          <cell r="B18" t="str">
            <v>ECOLE NATIONALE D'ADMINISTRATION FINANCIERE</v>
          </cell>
        </row>
        <row r="19">
          <cell r="A19">
            <v>1112223</v>
          </cell>
          <cell r="B19" t="str">
            <v>COMMISSION INTERMINISTERIELLE DES INVESTISSEMENTS</v>
          </cell>
        </row>
        <row r="20">
          <cell r="A20">
            <v>1112224</v>
          </cell>
          <cell r="B20" t="str">
            <v>FONDS DE DEVELOPPEMENT FRONTALIER</v>
          </cell>
        </row>
        <row r="21">
          <cell r="A21">
            <v>1112225</v>
          </cell>
          <cell r="B21" t="str">
            <v>INSPECTION GENERALE DES FINANCES</v>
          </cell>
        </row>
        <row r="22">
          <cell r="A22">
            <v>1113</v>
          </cell>
          <cell r="B22" t="str">
            <v>MINIS. DE L'AGRICULTURE, RESSOURCES NATURELLES/DEVELOP/RURAL</v>
          </cell>
        </row>
        <row r="23">
          <cell r="A23">
            <v>1113111</v>
          </cell>
          <cell r="B23" t="str">
            <v>BUREAU DU MINISTRE</v>
          </cell>
        </row>
        <row r="24">
          <cell r="A24">
            <v>1113112</v>
          </cell>
          <cell r="B24" t="str">
            <v>DIRECTION GENERALE DES SERVICES INTERNES</v>
          </cell>
        </row>
        <row r="25">
          <cell r="A25">
            <v>1113213</v>
          </cell>
          <cell r="B25" t="str">
            <v>ORGANISME DE LA VALLEE DE L'ARTIBONITE</v>
          </cell>
        </row>
        <row r="26">
          <cell r="A26">
            <v>1113214</v>
          </cell>
          <cell r="B26" t="str">
            <v>INSTITUT NATIONAL DE REFORME AGRAIRE</v>
          </cell>
        </row>
        <row r="27">
          <cell r="A27">
            <v>1113215</v>
          </cell>
          <cell r="B27" t="str">
            <v>BUREAU DE S.E. A L'AGRICULTURE</v>
          </cell>
        </row>
        <row r="28">
          <cell r="A28">
            <v>1113216</v>
          </cell>
          <cell r="B28" t="str">
            <v>INSTITUT NATIONAL DU CAFE D'HAITI (INCAH)</v>
          </cell>
        </row>
        <row r="29">
          <cell r="A29">
            <v>1114</v>
          </cell>
          <cell r="B29" t="str">
            <v>MINISTERE DES TRAVAUX PUBLICS, TRANSPORTS ET COMMUNICATIONS</v>
          </cell>
        </row>
        <row r="30">
          <cell r="A30">
            <v>1114111</v>
          </cell>
          <cell r="B30" t="str">
            <v>BUREAU DU MINISTRE</v>
          </cell>
        </row>
        <row r="31">
          <cell r="A31">
            <v>1114112</v>
          </cell>
          <cell r="B31" t="str">
            <v>DIRECTION GENERALE DES SERVICES INTERNES</v>
          </cell>
        </row>
        <row r="32">
          <cell r="A32">
            <v>1114213</v>
          </cell>
          <cell r="B32" t="str">
            <v>SERVICE NATIONAL D'EAU POTABLE</v>
          </cell>
        </row>
        <row r="33">
          <cell r="A33">
            <v>1114215</v>
          </cell>
          <cell r="B33" t="str">
            <v>LABOR. NATIONAL DU BATIMENT ET DES TRAV. PUBL.</v>
          </cell>
        </row>
        <row r="34">
          <cell r="A34">
            <v>1114216</v>
          </cell>
          <cell r="B34" t="str">
            <v>OFFICE NATIONAL DU CADASTRE</v>
          </cell>
        </row>
        <row r="35">
          <cell r="A35">
            <v>1114217</v>
          </cell>
          <cell r="B35" t="str">
            <v>SERVICES MARITIME ET DE NAVIGATION</v>
          </cell>
        </row>
        <row r="36">
          <cell r="A36">
            <v>1114218</v>
          </cell>
          <cell r="B36" t="str">
            <v>CONSEIL NATIONAL DES TELECOMMUNICATIONS</v>
          </cell>
        </row>
        <row r="37">
          <cell r="A37">
            <v>1114219</v>
          </cell>
          <cell r="B37" t="str">
            <v>BUREAU DES MINES ET DE L'ENERGIE</v>
          </cell>
        </row>
        <row r="38">
          <cell r="A38">
            <v>1114220</v>
          </cell>
          <cell r="B38" t="str">
            <v>FONDS D'ENTRETIEN ROUTIER</v>
          </cell>
        </row>
        <row r="39">
          <cell r="A39">
            <v>1114221</v>
          </cell>
          <cell r="B39" t="str">
            <v>CENTRE NATIONAL DES EQUIPEMENTS</v>
          </cell>
        </row>
        <row r="40">
          <cell r="A40">
            <v>1114222</v>
          </cell>
          <cell r="B40" t="str">
            <v>DIRECTION NATIONALE DE L'EAU POTABLE ET DE L'ASSAINISSEMENT</v>
          </cell>
        </row>
        <row r="41">
          <cell r="A41">
            <v>1115</v>
          </cell>
          <cell r="B41" t="str">
            <v>MINISTERE DU COMMERCE ET DE L'INDUSTRIE</v>
          </cell>
        </row>
        <row r="42">
          <cell r="A42">
            <v>1115111</v>
          </cell>
          <cell r="B42" t="str">
            <v>BUREAU DU MINISTRE</v>
          </cell>
        </row>
        <row r="43">
          <cell r="A43">
            <v>1115112</v>
          </cell>
          <cell r="B43" t="str">
            <v>DIRECTION GENERALE DES SERVICES INTERNES</v>
          </cell>
        </row>
        <row r="44">
          <cell r="A44">
            <v>1115213</v>
          </cell>
          <cell r="B44" t="str">
            <v>OFFICE DES POSTES</v>
          </cell>
        </row>
        <row r="45">
          <cell r="A45">
            <v>1115214</v>
          </cell>
          <cell r="B45" t="str">
            <v>BUREAU DE COORD. ET DE SUIVI DES ACCORDS CARICOM/OMC/ZLEA</v>
          </cell>
        </row>
        <row r="46">
          <cell r="A46">
            <v>1115215</v>
          </cell>
          <cell r="B46" t="str">
            <v>DIRECTION GENERALE DES ZONES FRANCHES</v>
          </cell>
        </row>
        <row r="47">
          <cell r="A47">
            <v>1115216</v>
          </cell>
          <cell r="B47" t="str">
            <v>CENTRE DE FACILITATION DES INVEST(CFI)</v>
          </cell>
        </row>
        <row r="48">
          <cell r="A48">
            <v>1116</v>
          </cell>
          <cell r="B48" t="str">
            <v>MINISTERE DE L'ENVIRONNEMENT</v>
          </cell>
        </row>
        <row r="49">
          <cell r="A49">
            <v>1116111</v>
          </cell>
          <cell r="B49" t="str">
            <v>BUREAU DU MINISTRE</v>
          </cell>
        </row>
        <row r="50">
          <cell r="A50">
            <v>1116112</v>
          </cell>
          <cell r="B50" t="str">
            <v>DIRECTION GENERALE DES SERVICES INTERNES</v>
          </cell>
        </row>
        <row r="51">
          <cell r="A51">
            <v>1117</v>
          </cell>
          <cell r="B51" t="str">
            <v>MINISTERE DU TOURISME</v>
          </cell>
        </row>
        <row r="52">
          <cell r="A52">
            <v>1117111</v>
          </cell>
          <cell r="B52" t="str">
            <v>BUREAU DU MINISTRE</v>
          </cell>
        </row>
        <row r="53">
          <cell r="A53">
            <v>1117112</v>
          </cell>
          <cell r="B53" t="str">
            <v>DIRECTION GENERALE DES SERVICES INTERNES</v>
          </cell>
        </row>
        <row r="54">
          <cell r="A54">
            <v>1117211</v>
          </cell>
          <cell r="B54" t="str">
            <v>ECOLE HOTELIERE</v>
          </cell>
        </row>
        <row r="55">
          <cell r="A55">
            <v>1211</v>
          </cell>
          <cell r="B55" t="str">
            <v>MINISTERE DE LA JUSTICE</v>
          </cell>
        </row>
        <row r="56">
          <cell r="A56">
            <v>1211111</v>
          </cell>
          <cell r="B56" t="str">
            <v>BUREAU DU MINISTRE</v>
          </cell>
        </row>
        <row r="57">
          <cell r="A57">
            <v>1211112</v>
          </cell>
          <cell r="B57" t="str">
            <v>DIRECTION GENERALE DES SERVICES INTERNES</v>
          </cell>
        </row>
        <row r="58">
          <cell r="A58">
            <v>1211216</v>
          </cell>
          <cell r="B58" t="str">
            <v>POLICE NATIONALE D'HAITI</v>
          </cell>
        </row>
        <row r="59">
          <cell r="A59">
            <v>1211217</v>
          </cell>
          <cell r="B59" t="str">
            <v>UNITE CENTRALE DE RENSEIGNEMENTS FINANCIERS</v>
          </cell>
        </row>
        <row r="60">
          <cell r="A60">
            <v>1211218</v>
          </cell>
          <cell r="B60" t="str">
            <v>BUREAU DU SECRETAIRE D'ETAT A LA SECURITE PUBLIQUE</v>
          </cell>
        </row>
        <row r="61">
          <cell r="A61">
            <v>1211219</v>
          </cell>
          <cell r="B61" t="str">
            <v>OFFICE NATIONAL D'IDENTIFICATION</v>
          </cell>
        </row>
        <row r="62">
          <cell r="A62">
            <v>1211220</v>
          </cell>
          <cell r="B62" t="str">
            <v>BUREAU DU SECRETAIRE D'ETAT A LA JUSTICE</v>
          </cell>
        </row>
        <row r="63">
          <cell r="A63">
            <v>1211221</v>
          </cell>
          <cell r="B63" t="str">
            <v>ECOLE DE LA MAGISTRATURE</v>
          </cell>
        </row>
        <row r="64">
          <cell r="A64">
            <v>1212</v>
          </cell>
          <cell r="B64" t="str">
            <v>MINISTERE DES HAITIENS VIVANT A L'ETRANGER</v>
          </cell>
        </row>
        <row r="65">
          <cell r="A65">
            <v>1212111</v>
          </cell>
          <cell r="B65" t="str">
            <v>BUREAU DU MINISTRE</v>
          </cell>
        </row>
        <row r="66">
          <cell r="A66">
            <v>1212112</v>
          </cell>
          <cell r="B66" t="str">
            <v>DIRECTION GENERALE DES SERVICES INTERNES</v>
          </cell>
        </row>
        <row r="67">
          <cell r="A67">
            <v>1213</v>
          </cell>
          <cell r="B67" t="str">
            <v>MINISTERE DES AFFAIRES ETRANGERES</v>
          </cell>
        </row>
        <row r="68">
          <cell r="A68">
            <v>1213111</v>
          </cell>
          <cell r="B68" t="str">
            <v>BUREAU DU MINISTRE</v>
          </cell>
        </row>
        <row r="69">
          <cell r="A69">
            <v>1213112</v>
          </cell>
          <cell r="B69" t="str">
            <v>DIRECTION GENERALE DES SERVICES INTERNES</v>
          </cell>
        </row>
        <row r="70">
          <cell r="A70">
            <v>1214</v>
          </cell>
          <cell r="B70" t="str">
            <v>LA PRESIDENCE</v>
          </cell>
        </row>
        <row r="71">
          <cell r="A71">
            <v>1214111</v>
          </cell>
          <cell r="B71" t="str">
            <v>BUREAU DU PRESIDENT</v>
          </cell>
        </row>
        <row r="72">
          <cell r="A72">
            <v>1214112</v>
          </cell>
          <cell r="B72" t="str">
            <v xml:space="preserve"> ADMINISTRATION GENERALE DU PALAIS NATIONAL</v>
          </cell>
        </row>
        <row r="73">
          <cell r="A73">
            <v>1214113</v>
          </cell>
          <cell r="B73" t="str">
            <v>SERVICE DE SECURITE DU PALAIS NATIONAL</v>
          </cell>
        </row>
        <row r="74">
          <cell r="A74">
            <v>1214114</v>
          </cell>
          <cell r="B74" t="str">
            <v>DOTATION POUR COMPTE SPECIAL DU PRESIDENT</v>
          </cell>
        </row>
        <row r="75">
          <cell r="A75">
            <v>1215</v>
          </cell>
          <cell r="B75" t="str">
            <v>BUREAU DU PREMIER MINISTRE</v>
          </cell>
        </row>
        <row r="76">
          <cell r="A76">
            <v>1215111</v>
          </cell>
          <cell r="B76" t="str">
            <v>BUREAU DU PREMIER MINISTRE</v>
          </cell>
        </row>
        <row r="77">
          <cell r="A77">
            <v>1215112</v>
          </cell>
          <cell r="B77" t="str">
            <v>ADMINISTRATION GENERALE</v>
          </cell>
        </row>
        <row r="78">
          <cell r="A78">
            <v>1215113</v>
          </cell>
          <cell r="B78" t="str">
            <v>DOTATION POUR COMPTE SPECIAL DU PREMIER MINISTRE</v>
          </cell>
        </row>
        <row r="79">
          <cell r="A79">
            <v>1215214</v>
          </cell>
          <cell r="B79" t="str">
            <v>CEFOPAFOP</v>
          </cell>
        </row>
        <row r="80">
          <cell r="A80">
            <v>1215216</v>
          </cell>
          <cell r="B80" t="str">
            <v>CONSEIL DE MODERNISATION DES ENTREPRISES PUBLIQUES</v>
          </cell>
        </row>
        <row r="81">
          <cell r="A81">
            <v>1215217</v>
          </cell>
          <cell r="B81" t="str">
            <v>COMMISSION NATIONALE DE LUTTE CONTRE LA DROGUE</v>
          </cell>
        </row>
        <row r="82">
          <cell r="A82">
            <v>1215218</v>
          </cell>
          <cell r="B82" t="str">
            <v>BUREAU DE L'ORDONNATEUR NATIONAL</v>
          </cell>
        </row>
        <row r="83">
          <cell r="A83">
            <v>1215219</v>
          </cell>
          <cell r="B83" t="str">
            <v>COMMISSION NATIONALE DE PASSATION DE MARCHES</v>
          </cell>
        </row>
        <row r="84">
          <cell r="A84">
            <v>1215220</v>
          </cell>
          <cell r="B84" t="str">
            <v>BUREAU DE GESTION DES MILITAIRES DEMOBILISES</v>
          </cell>
        </row>
        <row r="85">
          <cell r="A85">
            <v>1215221</v>
          </cell>
          <cell r="B85" t="str">
            <v>CONSEIL SUPERIEUR DE LA POLICE NATIONALE</v>
          </cell>
        </row>
        <row r="86">
          <cell r="A86">
            <v>1215222</v>
          </cell>
          <cell r="B86" t="str">
            <v>BUREAU DE COORD. ET DE SUIVI DES ACCORDS CARICOM/OMC/ZLEA</v>
          </cell>
        </row>
        <row r="87">
          <cell r="A87">
            <v>1216</v>
          </cell>
          <cell r="B87" t="str">
            <v>MINISTERE DE L'INTERIEUR &amp; DES COLLECTIVITÉS TERRITORIALES</v>
          </cell>
        </row>
        <row r="88">
          <cell r="A88">
            <v>1216111</v>
          </cell>
          <cell r="B88" t="str">
            <v>BUREAU DU MINISTRE</v>
          </cell>
        </row>
        <row r="89">
          <cell r="A89">
            <v>1216112</v>
          </cell>
          <cell r="B89" t="str">
            <v>DIRECTION GENERALE DES SERVICES INTERNES</v>
          </cell>
        </row>
        <row r="90">
          <cell r="A90">
            <v>1216215</v>
          </cell>
          <cell r="B90" t="str">
            <v>ORGANISME DE SURVEILLANCE MORNE HOPITAL</v>
          </cell>
        </row>
        <row r="91">
          <cell r="A91">
            <v>1216217</v>
          </cell>
          <cell r="B91" t="str">
            <v>SMCRS</v>
          </cell>
        </row>
        <row r="92">
          <cell r="A92">
            <v>1217</v>
          </cell>
          <cell r="B92" t="str">
            <v>MINISTERE DE LA DEFENSE</v>
          </cell>
        </row>
        <row r="93">
          <cell r="A93">
            <v>1217111</v>
          </cell>
          <cell r="B93" t="str">
            <v>BUREAU DU MINISTRE</v>
          </cell>
        </row>
        <row r="94">
          <cell r="A94">
            <v>1217112</v>
          </cell>
          <cell r="B94" t="str">
            <v>DIRECTION GENERALE DES SERVICES INTERNES</v>
          </cell>
        </row>
        <row r="95">
          <cell r="A95">
            <v>1311</v>
          </cell>
          <cell r="B95" t="str">
            <v>MINISTERE DE L'EDUCATION NATIONALE ET DE L A FORM. PROFESS.</v>
          </cell>
        </row>
        <row r="96">
          <cell r="A96">
            <v>1311111</v>
          </cell>
          <cell r="B96" t="str">
            <v>BUREAU DU MINISTRE</v>
          </cell>
        </row>
        <row r="97">
          <cell r="A97">
            <v>1311112</v>
          </cell>
          <cell r="B97" t="str">
            <v>DIRECTION GENERALE DES SERVICES INTERNES</v>
          </cell>
        </row>
        <row r="98">
          <cell r="A98">
            <v>1311213</v>
          </cell>
          <cell r="B98" t="str">
            <v>BUREAU DE L'ALPHABETISATION</v>
          </cell>
        </row>
        <row r="99">
          <cell r="A99">
            <v>1311215</v>
          </cell>
          <cell r="B99" t="str">
            <v>COMMISSION NLE DE COOPERATION AVEC L'UNESCO</v>
          </cell>
        </row>
        <row r="100">
          <cell r="A100">
            <v>1311217</v>
          </cell>
          <cell r="B100" t="str">
            <v>INSTITUT NATIONAL DE FORMATION PROFESSIONNELLE</v>
          </cell>
        </row>
        <row r="101">
          <cell r="A101">
            <v>1311218</v>
          </cell>
          <cell r="B101" t="str">
            <v>OFFICE NATIONAL DE PARTENARIAT</v>
          </cell>
        </row>
        <row r="102">
          <cell r="A102">
            <v>1312</v>
          </cell>
          <cell r="B102" t="str">
            <v>MINISTERE DES AFFAIRES SOCIALES</v>
          </cell>
        </row>
        <row r="103">
          <cell r="A103">
            <v>1312111</v>
          </cell>
          <cell r="B103" t="str">
            <v>BUREAU DU MINISTRE</v>
          </cell>
        </row>
        <row r="104">
          <cell r="A104">
            <v>1312112</v>
          </cell>
          <cell r="B104" t="str">
            <v>DIRECTION GENERALE DES SERVICES INTERNES</v>
          </cell>
        </row>
        <row r="105">
          <cell r="A105">
            <v>1312213</v>
          </cell>
          <cell r="B105" t="str">
            <v>INSTITUT DU BIEN ETRE SOCIAL ET DE RECHERCHES</v>
          </cell>
        </row>
        <row r="106">
          <cell r="A106">
            <v>1312214</v>
          </cell>
          <cell r="B106" t="str">
            <v>E.P.P.L.S</v>
          </cell>
        </row>
        <row r="107">
          <cell r="A107">
            <v>1312215</v>
          </cell>
          <cell r="B107" t="str">
            <v>OFFICE NATIONAL DE LA MIGRATION</v>
          </cell>
        </row>
        <row r="108">
          <cell r="A108">
            <v>1312217</v>
          </cell>
          <cell r="B108" t="str">
            <v>BUREAU DU SECRETAIRE D'ETAT AUX HANDICAPES</v>
          </cell>
        </row>
        <row r="109">
          <cell r="A109">
            <v>1313</v>
          </cell>
          <cell r="B109" t="str">
            <v>MINISTERE DE LA SANTE PUBLIQUE ET DE LA POPULATION</v>
          </cell>
        </row>
        <row r="110">
          <cell r="A110">
            <v>1313111</v>
          </cell>
          <cell r="B110" t="str">
            <v>BUREAU DU MINISTRE</v>
          </cell>
        </row>
        <row r="111">
          <cell r="A111">
            <v>1313112</v>
          </cell>
          <cell r="B111" t="str">
            <v>DIRECTION GENERALE DES SERVICES INTERNES</v>
          </cell>
        </row>
        <row r="112">
          <cell r="A112">
            <v>1313214</v>
          </cell>
          <cell r="B112" t="str">
            <v>SUBVENTION AUX ORGANISMES PRIVES ET PUBLICS</v>
          </cell>
        </row>
        <row r="113">
          <cell r="A113">
            <v>1314</v>
          </cell>
          <cell r="B113" t="str">
            <v>MINISTERE A LA CONDITION FEMININE</v>
          </cell>
        </row>
        <row r="114">
          <cell r="A114">
            <v>1314111</v>
          </cell>
          <cell r="B114" t="str">
            <v>BUREAU DU MINISTRE</v>
          </cell>
        </row>
        <row r="115">
          <cell r="A115">
            <v>1314112</v>
          </cell>
          <cell r="B115" t="str">
            <v>DIRECTION GENERALE</v>
          </cell>
        </row>
        <row r="116">
          <cell r="A116">
            <v>1315</v>
          </cell>
          <cell r="B116" t="str">
            <v>MINISTERE DE LA JEUNESSE DES SPORTS ET DE L ACTION CIVIQUE</v>
          </cell>
        </row>
        <row r="117">
          <cell r="A117">
            <v>1315111</v>
          </cell>
          <cell r="B117" t="str">
            <v>BUREAU DU MINISTRE</v>
          </cell>
        </row>
        <row r="118">
          <cell r="A118">
            <v>1315112</v>
          </cell>
          <cell r="B118" t="str">
            <v>DIRECTION GENERALE DES SERVICES INTERNES</v>
          </cell>
        </row>
        <row r="119">
          <cell r="A119">
            <v>1411</v>
          </cell>
          <cell r="B119" t="str">
            <v>MINISTERE DES CULTES</v>
          </cell>
        </row>
        <row r="120">
          <cell r="A120">
            <v>1411112</v>
          </cell>
          <cell r="B120" t="str">
            <v>DIRECTION GENERALE DES SERVICES INTERNES</v>
          </cell>
        </row>
        <row r="121">
          <cell r="A121">
            <v>1412</v>
          </cell>
          <cell r="B121" t="str">
            <v>MINISTERE DE LA CULTURE</v>
          </cell>
        </row>
        <row r="122">
          <cell r="A122">
            <v>1412111</v>
          </cell>
          <cell r="B122" t="str">
            <v>BUREAU DU MINISTRE</v>
          </cell>
        </row>
        <row r="123">
          <cell r="A123">
            <v>1412112</v>
          </cell>
          <cell r="B123" t="str">
            <v>DIRECTION GENERALE DES SERVICES INTERNES</v>
          </cell>
        </row>
        <row r="124">
          <cell r="A124">
            <v>1412213</v>
          </cell>
          <cell r="B124" t="str">
            <v>ECOLE NATIONALE DES ARTS</v>
          </cell>
        </row>
        <row r="125">
          <cell r="A125">
            <v>1412214</v>
          </cell>
          <cell r="B125" t="str">
            <v>INSTITUT DE SAUVEGARDE DU PATRIMOINE NATIONAL</v>
          </cell>
        </row>
        <row r="126">
          <cell r="A126">
            <v>1412215</v>
          </cell>
          <cell r="B126" t="str">
            <v>THEATRE NATIONAL</v>
          </cell>
        </row>
        <row r="127">
          <cell r="A127">
            <v>1412216</v>
          </cell>
          <cell r="B127" t="str">
            <v>MUSEE DU PANTHEON NATIONAL</v>
          </cell>
        </row>
        <row r="128">
          <cell r="A128">
            <v>1412217</v>
          </cell>
          <cell r="B128" t="str">
            <v>BUREAU D ETHNOLOGIE</v>
          </cell>
        </row>
        <row r="129">
          <cell r="A129">
            <v>1412218</v>
          </cell>
          <cell r="B129" t="str">
            <v>BIBLIOTHEQUE NATIONALE</v>
          </cell>
        </row>
        <row r="130">
          <cell r="A130">
            <v>1412219</v>
          </cell>
          <cell r="B130" t="str">
            <v>ARCHIVES NATIONALES</v>
          </cell>
        </row>
        <row r="131">
          <cell r="A131">
            <v>1412223</v>
          </cell>
          <cell r="B131" t="str">
            <v>ACTIVITES CULTURELLES</v>
          </cell>
        </row>
        <row r="132">
          <cell r="A132">
            <v>1412224</v>
          </cell>
          <cell r="B132" t="str">
            <v>DIRECTION NATIONALE DU LIVRE</v>
          </cell>
        </row>
        <row r="133">
          <cell r="A133">
            <v>1412225</v>
          </cell>
          <cell r="B133" t="str">
            <v>BUREAU HAITIEN DU DROIT D AUTEUR</v>
          </cell>
        </row>
        <row r="134">
          <cell r="A134">
            <v>1413</v>
          </cell>
          <cell r="B134" t="str">
            <v>MINISTERE DE LA COMMUNICATION</v>
          </cell>
        </row>
        <row r="135">
          <cell r="A135">
            <v>1413111</v>
          </cell>
          <cell r="B135" t="str">
            <v>BUREAU DU MINISTRE</v>
          </cell>
        </row>
        <row r="136">
          <cell r="A136">
            <v>1413112</v>
          </cell>
          <cell r="B136" t="str">
            <v>DIRECTION GENERALE DES SERVICES INTERNES</v>
          </cell>
        </row>
        <row r="137">
          <cell r="A137">
            <v>1413213</v>
          </cell>
          <cell r="B137" t="str">
            <v>TELEVISION NATIONALE D HAITI</v>
          </cell>
        </row>
        <row r="138">
          <cell r="A138">
            <v>1413214</v>
          </cell>
          <cell r="B138" t="str">
            <v xml:space="preserve"> RADIO NATIONALE D'HAITI</v>
          </cell>
        </row>
        <row r="139">
          <cell r="A139">
            <v>1511</v>
          </cell>
          <cell r="B139" t="str">
            <v>INTERVENTIONS PUBLIQUES</v>
          </cell>
        </row>
        <row r="140">
          <cell r="A140">
            <v>1511111</v>
          </cell>
          <cell r="B140" t="str">
            <v>SUBVENTION AUX FONDS DE PENSION</v>
          </cell>
        </row>
        <row r="141">
          <cell r="A141">
            <v>1511113</v>
          </cell>
          <cell r="B141" t="str">
            <v>AUTRES INSTITUTIONS</v>
          </cell>
        </row>
        <row r="142">
          <cell r="A142">
            <v>1511149</v>
          </cell>
          <cell r="B142" t="str">
            <v>9AUTRES INTERVENTIONS PUBLIQUES</v>
          </cell>
        </row>
        <row r="143">
          <cell r="A143">
            <v>1512</v>
          </cell>
          <cell r="B143" t="str">
            <v>DETTE PUBLIQUE</v>
          </cell>
        </row>
        <row r="144">
          <cell r="A144">
            <v>1512111</v>
          </cell>
          <cell r="B144" t="str">
            <v>INSTITUTIONS FINANCIERES CREATRICES DE MONNAIE</v>
          </cell>
        </row>
        <row r="145">
          <cell r="A145">
            <v>15121121</v>
          </cell>
          <cell r="B145" t="str">
            <v>AUTRES INSTITUTIONS FINANCIERES</v>
          </cell>
        </row>
        <row r="146">
          <cell r="A146">
            <v>1512113</v>
          </cell>
          <cell r="B146" t="str">
            <v>AUTRES CREANCIERS INTERNES</v>
          </cell>
        </row>
        <row r="147">
          <cell r="A147">
            <v>1512211</v>
          </cell>
          <cell r="B147" t="str">
            <v>DETTE MULTILATERALE</v>
          </cell>
        </row>
        <row r="148">
          <cell r="A148">
            <v>1512212</v>
          </cell>
          <cell r="B148" t="str">
            <v>DETTE BILATERALE</v>
          </cell>
        </row>
        <row r="149">
          <cell r="A149">
            <v>1512213</v>
          </cell>
          <cell r="B149" t="str">
            <v>AUTRES DETTES EXTERNES</v>
          </cell>
        </row>
        <row r="150">
          <cell r="A150">
            <v>2211</v>
          </cell>
          <cell r="B150" t="str">
            <v>SENAT DE LA REPUBLIQUE</v>
          </cell>
        </row>
        <row r="151">
          <cell r="A151">
            <v>2211111</v>
          </cell>
          <cell r="B151" t="str">
            <v>ASSEMBLEE DES SENATEURS</v>
          </cell>
        </row>
        <row r="152">
          <cell r="A152">
            <v>2212</v>
          </cell>
          <cell r="B152" t="str">
            <v>CHAMBRE DES DEPUTES</v>
          </cell>
        </row>
        <row r="153">
          <cell r="A153">
            <v>2212111</v>
          </cell>
          <cell r="B153" t="str">
            <v>CHAMBRE DES DEPUTES</v>
          </cell>
        </row>
        <row r="154">
          <cell r="A154">
            <v>2212112</v>
          </cell>
          <cell r="B154" t="str">
            <v>QUESTURE DE LA CHAMBRE DES DEPUTES</v>
          </cell>
        </row>
        <row r="155">
          <cell r="A155">
            <v>2212211</v>
          </cell>
          <cell r="B155" t="str">
            <v>SECRETARIAT GENERAL</v>
          </cell>
        </row>
        <row r="156">
          <cell r="A156">
            <v>3211</v>
          </cell>
          <cell r="B156" t="str">
            <v>CONSEIL SUPERIEUR DU POUVOIR JUDICIAIRE</v>
          </cell>
        </row>
        <row r="157">
          <cell r="A157">
            <v>3211111</v>
          </cell>
          <cell r="B157" t="str">
            <v>ADMINISTRATION GENERALE</v>
          </cell>
        </row>
        <row r="158">
          <cell r="A158">
            <v>3211212</v>
          </cell>
          <cell r="B158" t="str">
            <v>COUR DE CASSATION</v>
          </cell>
        </row>
        <row r="159">
          <cell r="A159">
            <v>3211213</v>
          </cell>
          <cell r="B159" t="str">
            <v xml:space="preserve">COUR D'APPEL </v>
          </cell>
        </row>
        <row r="160">
          <cell r="A160">
            <v>3211214</v>
          </cell>
          <cell r="B160" t="str">
            <v>TRIBUNAUX</v>
          </cell>
        </row>
        <row r="161">
          <cell r="A161">
            <v>4111</v>
          </cell>
          <cell r="B161" t="str">
            <v>COUR SUPERIEURE DES COMPTES ET DU CONTENTIEUX</v>
          </cell>
        </row>
        <row r="162">
          <cell r="A162">
            <v>4111111</v>
          </cell>
          <cell r="B162" t="str">
            <v>CONSEIL DE LA COUR</v>
          </cell>
        </row>
        <row r="163">
          <cell r="A163">
            <v>4211</v>
          </cell>
          <cell r="B163" t="str">
            <v>CONSEIL ELECTORAL</v>
          </cell>
        </row>
        <row r="164">
          <cell r="A164">
            <v>4211111</v>
          </cell>
          <cell r="B164" t="str">
            <v>CONSEIL ELECTORAL</v>
          </cell>
        </row>
        <row r="165">
          <cell r="A165">
            <v>4212</v>
          </cell>
          <cell r="B165" t="str">
            <v>OFFICE DE PROTECTION DU CITOYEN</v>
          </cell>
        </row>
        <row r="166">
          <cell r="A166">
            <v>4212112</v>
          </cell>
          <cell r="B166" t="str">
            <v>OFFICE DE PROTECTION DU CITOYEN</v>
          </cell>
        </row>
        <row r="167">
          <cell r="A167">
            <v>4311</v>
          </cell>
          <cell r="B167" t="str">
            <v>UNIVERSITE D'ETAT D'HAITI</v>
          </cell>
        </row>
        <row r="168">
          <cell r="A168">
            <v>4311111</v>
          </cell>
          <cell r="B168" t="str">
            <v>RECTORAT DE L UNIVERSITE D ETAT D HAITI</v>
          </cell>
        </row>
        <row r="169">
          <cell r="A169">
            <v>4411</v>
          </cell>
          <cell r="B169" t="str">
            <v>ACADEMIE DE LA CULTURE</v>
          </cell>
        </row>
        <row r="170">
          <cell r="A170">
            <v>4311111</v>
          </cell>
          <cell r="B170" t="str">
            <v>SECRETARIAT TECHNIQUE DE L'ACADEMIE DU CREOLE HAITIEN</v>
          </cell>
        </row>
        <row r="171">
          <cell r="A171">
            <v>11111</v>
          </cell>
          <cell r="B171" t="str">
            <v>SERVICES INTERNES</v>
          </cell>
        </row>
        <row r="172">
          <cell r="A172">
            <v>11112</v>
          </cell>
          <cell r="B172" t="str">
            <v>SERVICES EXTERNES</v>
          </cell>
        </row>
        <row r="173">
          <cell r="A173">
            <v>11121</v>
          </cell>
          <cell r="B173" t="str">
            <v>SERVICES INTERNES</v>
          </cell>
        </row>
        <row r="174">
          <cell r="A174">
            <v>11122</v>
          </cell>
          <cell r="B174" t="str">
            <v>SERVICES EXTERNES</v>
          </cell>
        </row>
        <row r="175">
          <cell r="A175">
            <v>11131</v>
          </cell>
          <cell r="B175" t="str">
            <v>SERVICES INTERNES</v>
          </cell>
        </row>
        <row r="176">
          <cell r="A176">
            <v>11132</v>
          </cell>
          <cell r="B176" t="str">
            <v>SERVICES EXTERNES</v>
          </cell>
        </row>
        <row r="177">
          <cell r="A177">
            <v>11141</v>
          </cell>
          <cell r="B177" t="str">
            <v>SERVICES INTERNES</v>
          </cell>
        </row>
        <row r="178">
          <cell r="A178">
            <v>11142</v>
          </cell>
          <cell r="B178" t="str">
            <v>SERVICES EXTERNES</v>
          </cell>
        </row>
        <row r="179">
          <cell r="A179">
            <v>11151</v>
          </cell>
          <cell r="B179" t="str">
            <v>SERVICES INTERNES</v>
          </cell>
        </row>
        <row r="180">
          <cell r="A180">
            <v>11152</v>
          </cell>
          <cell r="B180" t="str">
            <v>SERVICES EXTERNES</v>
          </cell>
        </row>
        <row r="181">
          <cell r="A181">
            <v>11161</v>
          </cell>
          <cell r="B181" t="str">
            <v>SERVICES INTERNES</v>
          </cell>
        </row>
        <row r="182">
          <cell r="A182">
            <v>11171</v>
          </cell>
          <cell r="B182" t="str">
            <v>SERVICES INTERNES</v>
          </cell>
        </row>
        <row r="183">
          <cell r="A183">
            <v>11172</v>
          </cell>
          <cell r="B183" t="str">
            <v>SERVICES EXTERNES</v>
          </cell>
        </row>
        <row r="184">
          <cell r="A184">
            <v>12111</v>
          </cell>
          <cell r="B184" t="str">
            <v>SERVICES INTERNES</v>
          </cell>
        </row>
        <row r="185">
          <cell r="A185">
            <v>12112</v>
          </cell>
          <cell r="B185" t="str">
            <v>SERVICES EXTERNES</v>
          </cell>
        </row>
        <row r="186">
          <cell r="A186">
            <v>12121</v>
          </cell>
          <cell r="B186" t="str">
            <v>SERVICES INTERNES</v>
          </cell>
        </row>
        <row r="187">
          <cell r="A187">
            <v>12131</v>
          </cell>
          <cell r="B187" t="str">
            <v>SERVICES INTERNES</v>
          </cell>
        </row>
        <row r="188">
          <cell r="A188">
            <v>12141</v>
          </cell>
          <cell r="B188" t="str">
            <v>SERVICES INTERNES</v>
          </cell>
        </row>
        <row r="189">
          <cell r="A189">
            <v>12151</v>
          </cell>
          <cell r="B189" t="str">
            <v>SERVICES INTERNES</v>
          </cell>
        </row>
        <row r="190">
          <cell r="A190">
            <v>12152</v>
          </cell>
          <cell r="B190" t="str">
            <v>SERVICES EXTERNES</v>
          </cell>
        </row>
        <row r="191">
          <cell r="A191">
            <v>12161</v>
          </cell>
          <cell r="B191" t="str">
            <v>SERVICES INTERNES</v>
          </cell>
        </row>
        <row r="192">
          <cell r="A192">
            <v>12162</v>
          </cell>
          <cell r="B192" t="str">
            <v>SERVICES EXTERNES</v>
          </cell>
        </row>
        <row r="193">
          <cell r="A193">
            <v>12171</v>
          </cell>
          <cell r="B193" t="str">
            <v>SERVICES INTERNES</v>
          </cell>
        </row>
        <row r="194">
          <cell r="A194">
            <v>13111</v>
          </cell>
          <cell r="B194" t="str">
            <v>SERVICES INTERNES</v>
          </cell>
        </row>
        <row r="195">
          <cell r="A195">
            <v>13112</v>
          </cell>
          <cell r="B195" t="str">
            <v>SERVICES EXTERNES</v>
          </cell>
        </row>
        <row r="196">
          <cell r="A196">
            <v>13121</v>
          </cell>
          <cell r="B196" t="str">
            <v>SERVICES INTERNES</v>
          </cell>
        </row>
        <row r="197">
          <cell r="A197">
            <v>13122</v>
          </cell>
          <cell r="B197" t="str">
            <v>SERVICES EXTERNES</v>
          </cell>
        </row>
        <row r="198">
          <cell r="A198">
            <v>13131</v>
          </cell>
          <cell r="B198" t="str">
            <v>SERVICES INTERNES</v>
          </cell>
        </row>
        <row r="199">
          <cell r="A199">
            <v>13132</v>
          </cell>
          <cell r="B199" t="str">
            <v>SERVICES EXTERNES</v>
          </cell>
        </row>
        <row r="200">
          <cell r="A200">
            <v>13141</v>
          </cell>
          <cell r="B200" t="str">
            <v>SERVICES INTERNES</v>
          </cell>
        </row>
        <row r="201">
          <cell r="A201">
            <v>13151</v>
          </cell>
          <cell r="B201" t="str">
            <v>SERVICES INTERNES</v>
          </cell>
        </row>
        <row r="202">
          <cell r="A202">
            <v>14111</v>
          </cell>
          <cell r="B202" t="str">
            <v>SERVICES INTERNES</v>
          </cell>
        </row>
        <row r="203">
          <cell r="A203">
            <v>14121</v>
          </cell>
          <cell r="B203" t="str">
            <v>SERVICES INTERNES</v>
          </cell>
        </row>
        <row r="204">
          <cell r="A204">
            <v>14122</v>
          </cell>
          <cell r="B204" t="str">
            <v>SERVICES EXTERNES</v>
          </cell>
        </row>
        <row r="205">
          <cell r="A205">
            <v>14131</v>
          </cell>
          <cell r="B205" t="str">
            <v>SERVICES INTERNES</v>
          </cell>
        </row>
        <row r="206">
          <cell r="A206">
            <v>14132</v>
          </cell>
          <cell r="B206" t="str">
            <v>SERVICES EXTERNES</v>
          </cell>
        </row>
        <row r="207">
          <cell r="A207">
            <v>15121</v>
          </cell>
          <cell r="B207" t="str">
            <v>DETTE INTERNE</v>
          </cell>
        </row>
        <row r="208">
          <cell r="A208">
            <v>15122</v>
          </cell>
          <cell r="B208" t="str">
            <v>DETTE EXTERNE</v>
          </cell>
        </row>
        <row r="209">
          <cell r="A209">
            <v>22111</v>
          </cell>
          <cell r="B209" t="str">
            <v>SERVICES INTERNES</v>
          </cell>
        </row>
        <row r="210">
          <cell r="A210">
            <v>22121</v>
          </cell>
          <cell r="B210" t="str">
            <v>SERVICES INTERNES</v>
          </cell>
        </row>
        <row r="211">
          <cell r="A211">
            <v>32111</v>
          </cell>
          <cell r="B211" t="str">
            <v>SERVICES INTERNES</v>
          </cell>
        </row>
        <row r="212">
          <cell r="A212">
            <v>41111</v>
          </cell>
          <cell r="B212" t="str">
            <v>SERVICES INTERNES</v>
          </cell>
        </row>
        <row r="213">
          <cell r="A213">
            <v>42111</v>
          </cell>
          <cell r="B213" t="str">
            <v>SERVICES INTERNES</v>
          </cell>
        </row>
        <row r="214">
          <cell r="A214">
            <v>42121</v>
          </cell>
          <cell r="B214" t="str">
            <v>SERVICES INTERNES</v>
          </cell>
        </row>
        <row r="215">
          <cell r="A215">
            <v>43111</v>
          </cell>
          <cell r="B215" t="str">
            <v>SERVICES INTERNES</v>
          </cell>
        </row>
        <row r="216">
          <cell r="A216">
            <v>44111</v>
          </cell>
          <cell r="B216" t="str">
            <v>SERVICES INTERNES</v>
          </cell>
        </row>
        <row r="217">
          <cell r="A217" t="str">
            <v>1</v>
          </cell>
          <cell r="B217" t="str">
            <v>POUVOIR EXECUTIF</v>
          </cell>
        </row>
        <row r="218">
          <cell r="A218" t="str">
            <v>2</v>
          </cell>
          <cell r="B218" t="str">
            <v>POUVOIR LESGISLATIF</v>
          </cell>
        </row>
        <row r="219">
          <cell r="A219" t="str">
            <v>3</v>
          </cell>
          <cell r="B219" t="str">
            <v>POUVOIR JUDICIAIRE</v>
          </cell>
        </row>
        <row r="220">
          <cell r="A220" t="str">
            <v>4</v>
          </cell>
          <cell r="B220" t="str">
            <v>ORGANISMES INDEPENDANTS</v>
          </cell>
        </row>
        <row r="221">
          <cell r="A221">
            <v>11</v>
          </cell>
          <cell r="B221" t="str">
            <v>SECTEUR ECONOMIQUE</v>
          </cell>
        </row>
        <row r="222">
          <cell r="A222">
            <v>12</v>
          </cell>
          <cell r="B222" t="str">
            <v>SECTEUR POLITIQUE</v>
          </cell>
        </row>
        <row r="223">
          <cell r="A223">
            <v>13</v>
          </cell>
          <cell r="B223" t="str">
            <v>SECTEUR SOCIAL</v>
          </cell>
        </row>
        <row r="224">
          <cell r="A224">
            <v>14</v>
          </cell>
          <cell r="B224" t="str">
            <v>SECTEUR CULTUREL</v>
          </cell>
        </row>
        <row r="225">
          <cell r="A225">
            <v>15</v>
          </cell>
          <cell r="B225" t="str">
            <v>AUTRES ADMINISTRATIONS</v>
          </cell>
        </row>
      </sheetData>
      <sheetData sheetId="17"/>
      <sheetData sheetId="18">
        <row r="2">
          <cell r="D2">
            <v>1</v>
          </cell>
          <cell r="E2" t="str">
            <v>DEPENSES DE PERSONNEL</v>
          </cell>
        </row>
        <row r="3">
          <cell r="D3">
            <v>11</v>
          </cell>
          <cell r="E3" t="str">
            <v xml:space="preserve">Rémunérations principales </v>
          </cell>
        </row>
        <row r="4">
          <cell r="D4">
            <v>110</v>
          </cell>
          <cell r="E4" t="str">
            <v>Rémunérations principales. Personnel de carrière</v>
          </cell>
        </row>
        <row r="5">
          <cell r="D5">
            <v>111</v>
          </cell>
          <cell r="E5" t="str">
            <v>Rémunérations principales. Président de la République et Elus du corps législatif</v>
          </cell>
        </row>
        <row r="6">
          <cell r="D6">
            <v>112</v>
          </cell>
          <cell r="E6" t="str">
            <v>Rémunérations principales. Grands commis de l'Etat</v>
          </cell>
        </row>
        <row r="7">
          <cell r="D7">
            <v>113</v>
          </cell>
          <cell r="E7" t="str">
            <v>Rémunérations principales. Membres et Personnel du corps diplomatique et  consulaire</v>
          </cell>
        </row>
        <row r="8">
          <cell r="D8">
            <v>1130</v>
          </cell>
          <cell r="E8" t="str">
            <v>Personnel de carrière</v>
          </cell>
        </row>
        <row r="9">
          <cell r="D9">
            <v>1132</v>
          </cell>
          <cell r="E9" t="str">
            <v>Grands commis de l'Etat</v>
          </cell>
        </row>
        <row r="10">
          <cell r="D10">
            <v>1134</v>
          </cell>
          <cell r="E10" t="str">
            <v>Personnel contractuel</v>
          </cell>
        </row>
        <row r="11">
          <cell r="D11">
            <v>1135</v>
          </cell>
          <cell r="E11" t="str">
            <v>Personnel vacataire</v>
          </cell>
        </row>
        <row r="12">
          <cell r="D12">
            <v>1136</v>
          </cell>
          <cell r="E12" t="str">
            <v>Personnel journalier</v>
          </cell>
        </row>
        <row r="13">
          <cell r="D13">
            <v>1137</v>
          </cell>
          <cell r="E13" t="str">
            <v>Personnel stagiaire et assimilé</v>
          </cell>
        </row>
        <row r="14">
          <cell r="D14">
            <v>1139</v>
          </cell>
          <cell r="E14" t="str">
            <v>Autres personnels</v>
          </cell>
        </row>
        <row r="15">
          <cell r="D15">
            <v>114</v>
          </cell>
          <cell r="E15" t="str">
            <v>Rémunérations principales. Personnel contractuel</v>
          </cell>
        </row>
        <row r="16">
          <cell r="D16">
            <v>115</v>
          </cell>
          <cell r="E16" t="str">
            <v>Rémunérations principales. Personnel vacataire</v>
          </cell>
        </row>
        <row r="17">
          <cell r="D17">
            <v>116</v>
          </cell>
          <cell r="E17" t="str">
            <v>Rémunérations principales. Personnel journalier</v>
          </cell>
        </row>
        <row r="18">
          <cell r="D18">
            <v>117</v>
          </cell>
          <cell r="E18" t="str">
            <v>Rémunérations principales. Personnel stagiaire et assimilé</v>
          </cell>
        </row>
        <row r="19">
          <cell r="D19">
            <v>119</v>
          </cell>
          <cell r="E19" t="str">
            <v>Rémunérations principales. Autres personnels</v>
          </cell>
        </row>
        <row r="20">
          <cell r="D20">
            <v>12</v>
          </cell>
          <cell r="E20" t="str">
            <v>Indemnités de fonction</v>
          </cell>
        </row>
        <row r="21">
          <cell r="D21">
            <v>120</v>
          </cell>
          <cell r="E21" t="str">
            <v>Indemnités de fonction. Personnel de carrière</v>
          </cell>
        </row>
        <row r="22">
          <cell r="D22">
            <v>1201</v>
          </cell>
          <cell r="E22" t="str">
            <v xml:space="preserve">Indemnité de responsabilité </v>
          </cell>
        </row>
        <row r="23">
          <cell r="D23">
            <v>1202</v>
          </cell>
          <cell r="E23" t="str">
            <v>Indemnité pour responsabilité pécuniaire</v>
          </cell>
        </row>
        <row r="24">
          <cell r="D24">
            <v>1203</v>
          </cell>
          <cell r="E24" t="str">
            <v>Indemnité de participation aux commissions</v>
          </cell>
        </row>
        <row r="25">
          <cell r="D25">
            <v>1209</v>
          </cell>
          <cell r="E25" t="str">
            <v>Autres indemnités de fonction</v>
          </cell>
        </row>
        <row r="26">
          <cell r="D26">
            <v>121</v>
          </cell>
          <cell r="E26" t="str">
            <v>Indemnités de fonction. Président de la République et Elus du Corps législatif</v>
          </cell>
        </row>
        <row r="27">
          <cell r="D27">
            <v>1210</v>
          </cell>
          <cell r="E27" t="str">
            <v>Indemnité représentative de frais</v>
          </cell>
        </row>
        <row r="28">
          <cell r="D28">
            <v>1211</v>
          </cell>
          <cell r="E28" t="str">
            <v>Indemnité de responsabilité</v>
          </cell>
        </row>
        <row r="29">
          <cell r="D29">
            <v>1213</v>
          </cell>
          <cell r="E29" t="str">
            <v>Indemnité de participation aux commissions</v>
          </cell>
        </row>
        <row r="30">
          <cell r="D30">
            <v>1219</v>
          </cell>
          <cell r="E30" t="str">
            <v>Autres indemnités de fonction</v>
          </cell>
        </row>
        <row r="31">
          <cell r="D31">
            <v>122</v>
          </cell>
          <cell r="E31" t="str">
            <v>Indemnités de fonction. Grands commis de l'Etat</v>
          </cell>
        </row>
        <row r="32">
          <cell r="D32">
            <v>1220</v>
          </cell>
          <cell r="E32" t="str">
            <v>Indemnité représentative de frais</v>
          </cell>
        </row>
        <row r="33">
          <cell r="D33">
            <v>1221</v>
          </cell>
          <cell r="E33" t="str">
            <v>Indemnité de responsabilité</v>
          </cell>
        </row>
        <row r="34">
          <cell r="D34">
            <v>1223</v>
          </cell>
          <cell r="E34" t="str">
            <v>Indemnité de participation aux commissions</v>
          </cell>
        </row>
        <row r="35">
          <cell r="D35">
            <v>1229</v>
          </cell>
          <cell r="E35" t="str">
            <v>Autres indemnités de fonction</v>
          </cell>
        </row>
        <row r="36">
          <cell r="D36">
            <v>123</v>
          </cell>
          <cell r="E36" t="str">
            <v>Indemnités de fonction. Membres et Personnel du corps diplomatique et consulaire</v>
          </cell>
        </row>
        <row r="37">
          <cell r="D37">
            <v>1230</v>
          </cell>
          <cell r="E37" t="str">
            <v>Indemnité représentative de frais</v>
          </cell>
        </row>
        <row r="38">
          <cell r="D38">
            <v>1231</v>
          </cell>
          <cell r="E38" t="str">
            <v>Indemnité de responsabilité</v>
          </cell>
        </row>
        <row r="39">
          <cell r="D39">
            <v>1233</v>
          </cell>
          <cell r="E39" t="str">
            <v>Indemnité de participation aux commissions</v>
          </cell>
        </row>
        <row r="40">
          <cell r="D40">
            <v>1239</v>
          </cell>
          <cell r="E40" t="str">
            <v>Autres indemnités de fonction</v>
          </cell>
        </row>
        <row r="41">
          <cell r="D41">
            <v>129</v>
          </cell>
          <cell r="E41" t="str">
            <v>Indemnités de fonction Autres personnels</v>
          </cell>
        </row>
        <row r="42">
          <cell r="D42">
            <v>1290</v>
          </cell>
          <cell r="E42" t="str">
            <v>Indemnité représentative de frais</v>
          </cell>
        </row>
        <row r="43">
          <cell r="D43">
            <v>1291</v>
          </cell>
          <cell r="E43" t="str">
            <v xml:space="preserve">Indemnité de responsabilité </v>
          </cell>
        </row>
        <row r="44">
          <cell r="D44">
            <v>1292</v>
          </cell>
          <cell r="E44" t="str">
            <v>Indemnité pour responsabilité pécuniaire</v>
          </cell>
        </row>
        <row r="45">
          <cell r="D45">
            <v>1293</v>
          </cell>
          <cell r="E45" t="str">
            <v>Indemnité de participation aux commissions</v>
          </cell>
        </row>
        <row r="46">
          <cell r="D46">
            <v>1299</v>
          </cell>
          <cell r="E46" t="str">
            <v>Autres indemnités de fonction</v>
          </cell>
        </row>
        <row r="47">
          <cell r="D47">
            <v>13</v>
          </cell>
          <cell r="E47" t="str">
            <v>Rémunérations pour travaux en heures supplémentaires</v>
          </cell>
        </row>
        <row r="48">
          <cell r="D48">
            <v>130</v>
          </cell>
          <cell r="E48" t="str">
            <v>Rémunérations pour travaux en heures supplémentaires. Personnel de carrière</v>
          </cell>
        </row>
        <row r="49">
          <cell r="D49">
            <v>133</v>
          </cell>
          <cell r="E49" t="str">
            <v>Rémunérations pour travaux en heures supplémentaires. Personnel du Corps diplomatique et consulaire</v>
          </cell>
        </row>
        <row r="50">
          <cell r="D50">
            <v>134</v>
          </cell>
          <cell r="E50" t="str">
            <v>Rémunérations pour travaux supplémentaires. Personnel contractuel</v>
          </cell>
        </row>
        <row r="51">
          <cell r="D51">
            <v>135</v>
          </cell>
          <cell r="E51" t="str">
            <v>Rémunérations pour travaux supplémentaires. Personnel vacataire</v>
          </cell>
        </row>
        <row r="52">
          <cell r="D52">
            <v>137</v>
          </cell>
          <cell r="E52" t="str">
            <v>Rémunérations pour travaux supplémentaires. Personnel stagiaire et assimilé</v>
          </cell>
        </row>
        <row r="53">
          <cell r="D53">
            <v>139</v>
          </cell>
          <cell r="E53" t="str">
            <v>Rémunérations pour travaux supplémentaires. Autres personnels</v>
          </cell>
        </row>
        <row r="54">
          <cell r="D54">
            <v>14</v>
          </cell>
          <cell r="E54" t="str">
            <v>Indemnités et primes diverses</v>
          </cell>
        </row>
        <row r="55">
          <cell r="D55">
            <v>140</v>
          </cell>
          <cell r="E55" t="str">
            <v>Indemnités et primes diverses. Personnel de carrière</v>
          </cell>
        </row>
        <row r="56">
          <cell r="D56">
            <v>1400</v>
          </cell>
          <cell r="E56" t="str">
            <v>Indemnité d'éloignement</v>
          </cell>
        </row>
        <row r="57">
          <cell r="D57">
            <v>1401</v>
          </cell>
          <cell r="E57" t="str">
            <v>Indemnité pour travaux de nuit</v>
          </cell>
        </row>
        <row r="58">
          <cell r="D58">
            <v>1402</v>
          </cell>
          <cell r="E58" t="str">
            <v>Indemnité de licenciement</v>
          </cell>
        </row>
        <row r="59">
          <cell r="D59">
            <v>1403</v>
          </cell>
          <cell r="E59" t="str">
            <v>Prime de premier établissement</v>
          </cell>
        </row>
        <row r="60">
          <cell r="D60">
            <v>1404</v>
          </cell>
          <cell r="E60" t="str">
            <v>Prime de risques</v>
          </cell>
        </row>
        <row r="61">
          <cell r="D61">
            <v>1405</v>
          </cell>
          <cell r="E61" t="str">
            <v>Prime d'efficacité et d'efficience</v>
          </cell>
        </row>
        <row r="62">
          <cell r="D62">
            <v>1409</v>
          </cell>
          <cell r="E62" t="str">
            <v>Autres indemnités et primes diverses</v>
          </cell>
        </row>
        <row r="63">
          <cell r="D63">
            <v>141</v>
          </cell>
          <cell r="E63" t="str">
            <v>Indemnités et primes diverses. Président de la République et élus du Corps législatif</v>
          </cell>
        </row>
        <row r="64">
          <cell r="D64">
            <v>1413</v>
          </cell>
          <cell r="E64" t="str">
            <v>Prime de premier établissement</v>
          </cell>
        </row>
        <row r="65">
          <cell r="D65">
            <v>1419</v>
          </cell>
          <cell r="E65" t="str">
            <v>Autres indemnités et primes diverses</v>
          </cell>
        </row>
        <row r="66">
          <cell r="D66">
            <v>142</v>
          </cell>
          <cell r="E66" t="str">
            <v>Indemnités et primes diverses. Grands commis de l'Etat</v>
          </cell>
        </row>
        <row r="67">
          <cell r="D67">
            <v>1420</v>
          </cell>
          <cell r="E67" t="str">
            <v>Indemnité d'éloignement</v>
          </cell>
        </row>
        <row r="68">
          <cell r="D68">
            <v>1423</v>
          </cell>
          <cell r="E68" t="str">
            <v>Prime de premier établissement</v>
          </cell>
        </row>
        <row r="69">
          <cell r="D69">
            <v>1429</v>
          </cell>
          <cell r="E69" t="str">
            <v>Autres indemnités et primes diverses</v>
          </cell>
        </row>
        <row r="70">
          <cell r="D70">
            <v>143</v>
          </cell>
          <cell r="E70" t="str">
            <v>Indemnités et primes diverses. Membres et Personnel du corps diplomatique et consulaire</v>
          </cell>
        </row>
        <row r="71">
          <cell r="D71">
            <v>1430</v>
          </cell>
          <cell r="E71" t="str">
            <v>Indemnité d'éloignement</v>
          </cell>
        </row>
        <row r="72">
          <cell r="D72">
            <v>1431</v>
          </cell>
          <cell r="E72" t="str">
            <v>Indemnité pour travaux de nuit</v>
          </cell>
        </row>
        <row r="73">
          <cell r="D73">
            <v>1432</v>
          </cell>
          <cell r="E73" t="str">
            <v>Indemnité de licenciement</v>
          </cell>
        </row>
        <row r="74">
          <cell r="D74">
            <v>1433</v>
          </cell>
          <cell r="E74" t="str">
            <v>Prime de premier établissement</v>
          </cell>
        </row>
        <row r="75">
          <cell r="D75">
            <v>1434</v>
          </cell>
          <cell r="E75" t="str">
            <v>Prime de risques</v>
          </cell>
        </row>
        <row r="76">
          <cell r="D76">
            <v>1435</v>
          </cell>
          <cell r="E76" t="str">
            <v>Prime d'efficacité et d'efficience</v>
          </cell>
        </row>
        <row r="77">
          <cell r="D77">
            <v>1436</v>
          </cell>
          <cell r="E77" t="str">
            <v>Indemnité de rapatriement</v>
          </cell>
        </row>
        <row r="78">
          <cell r="D78">
            <v>1439</v>
          </cell>
          <cell r="E78" t="str">
            <v>Autres indemnités et primes diverses</v>
          </cell>
        </row>
        <row r="79">
          <cell r="D79">
            <v>144</v>
          </cell>
          <cell r="E79" t="str">
            <v>Indemnités et primes diverses. Personnel contractuel</v>
          </cell>
        </row>
        <row r="80">
          <cell r="D80">
            <v>1441</v>
          </cell>
          <cell r="E80" t="str">
            <v>Indemnité pour travaux de nuit</v>
          </cell>
        </row>
        <row r="81">
          <cell r="D81">
            <v>1442</v>
          </cell>
          <cell r="E81" t="str">
            <v>Indemnité de licenciement</v>
          </cell>
        </row>
        <row r="82">
          <cell r="D82">
            <v>1444</v>
          </cell>
          <cell r="E82" t="str">
            <v>Prime de risques</v>
          </cell>
        </row>
        <row r="83">
          <cell r="D83">
            <v>1445</v>
          </cell>
          <cell r="E83" t="str">
            <v>Prime d'efficacité et d'efficience</v>
          </cell>
        </row>
        <row r="84">
          <cell r="D84">
            <v>1449</v>
          </cell>
          <cell r="E84" t="str">
            <v>Autres indemnités et primes diverses</v>
          </cell>
        </row>
        <row r="85">
          <cell r="D85">
            <v>145</v>
          </cell>
          <cell r="E85" t="str">
            <v>Indemnités et primes diverses. Personnel vacataire</v>
          </cell>
        </row>
        <row r="86">
          <cell r="D86">
            <v>1451</v>
          </cell>
          <cell r="E86" t="str">
            <v>Indemnité pour travaux de nuit</v>
          </cell>
        </row>
        <row r="87">
          <cell r="D87">
            <v>1454</v>
          </cell>
          <cell r="E87" t="str">
            <v>Primes de risques</v>
          </cell>
        </row>
        <row r="88">
          <cell r="D88">
            <v>1459</v>
          </cell>
          <cell r="E88" t="str">
            <v>Autres indemnités et primes diverses</v>
          </cell>
        </row>
        <row r="89">
          <cell r="D89">
            <v>147</v>
          </cell>
          <cell r="E89" t="str">
            <v>Indemnités et primes diverses. Personnel stagiaire et assimilé</v>
          </cell>
        </row>
        <row r="90">
          <cell r="D90">
            <v>1471</v>
          </cell>
          <cell r="E90" t="str">
            <v>Indemnité pour travaux de nuit</v>
          </cell>
        </row>
        <row r="91">
          <cell r="D91">
            <v>1474</v>
          </cell>
          <cell r="E91" t="str">
            <v>Prime de risques</v>
          </cell>
        </row>
        <row r="92">
          <cell r="D92">
            <v>1479</v>
          </cell>
          <cell r="E92" t="str">
            <v>Autres indemnités et primes diverses</v>
          </cell>
        </row>
        <row r="93">
          <cell r="D93">
            <v>149</v>
          </cell>
          <cell r="E93" t="str">
            <v>Indemnités et primes diverses. Autres personnels</v>
          </cell>
        </row>
        <row r="94">
          <cell r="D94">
            <v>1490</v>
          </cell>
          <cell r="E94" t="str">
            <v>Indemnité d'éloignement</v>
          </cell>
        </row>
        <row r="95">
          <cell r="D95">
            <v>1491</v>
          </cell>
          <cell r="E95" t="str">
            <v>Indemnité pour travaux de nuit</v>
          </cell>
        </row>
        <row r="96">
          <cell r="D96">
            <v>1492</v>
          </cell>
          <cell r="E96" t="str">
            <v>Indemnité de licenciement</v>
          </cell>
        </row>
        <row r="97">
          <cell r="D97">
            <v>1493</v>
          </cell>
          <cell r="E97" t="str">
            <v>Prime de premier établissement</v>
          </cell>
        </row>
        <row r="98">
          <cell r="D98">
            <v>1494</v>
          </cell>
          <cell r="E98" t="str">
            <v>Prime de risques</v>
          </cell>
        </row>
        <row r="99">
          <cell r="D99">
            <v>1495</v>
          </cell>
          <cell r="E99" t="str">
            <v>Prime d'efficacité et d'efficience</v>
          </cell>
        </row>
        <row r="100">
          <cell r="D100">
            <v>1499</v>
          </cell>
          <cell r="E100" t="str">
            <v>Autres indemnités et primes diverses</v>
          </cell>
        </row>
        <row r="101">
          <cell r="D101">
            <v>16</v>
          </cell>
          <cell r="E101" t="str">
            <v>Boni</v>
          </cell>
        </row>
        <row r="102">
          <cell r="D102">
            <v>160</v>
          </cell>
          <cell r="E102" t="str">
            <v>Boni. Personnel de carrière</v>
          </cell>
        </row>
        <row r="103">
          <cell r="D103">
            <v>161</v>
          </cell>
          <cell r="E103" t="str">
            <v>Boni. Président de la République et élus du pouvoir législatif</v>
          </cell>
        </row>
        <row r="104">
          <cell r="D104">
            <v>162</v>
          </cell>
          <cell r="E104" t="str">
            <v>Boni. Grands commis de l'Etat</v>
          </cell>
        </row>
        <row r="105">
          <cell r="D105">
            <v>163</v>
          </cell>
          <cell r="E105" t="str">
            <v>Boni. Membres et Personnel du corps diplomatique et consulaire</v>
          </cell>
        </row>
        <row r="106">
          <cell r="D106">
            <v>1630</v>
          </cell>
          <cell r="E106" t="str">
            <v>Personnel de carrière</v>
          </cell>
        </row>
        <row r="107">
          <cell r="D107">
            <v>1632</v>
          </cell>
          <cell r="E107" t="str">
            <v>Grands commis de l'Etat</v>
          </cell>
        </row>
        <row r="108">
          <cell r="D108">
            <v>1634</v>
          </cell>
          <cell r="E108" t="str">
            <v>Personnel contractuel</v>
          </cell>
        </row>
        <row r="109">
          <cell r="D109">
            <v>1635</v>
          </cell>
          <cell r="E109" t="str">
            <v>Personnel vacataire</v>
          </cell>
        </row>
        <row r="110">
          <cell r="D110">
            <v>1636</v>
          </cell>
          <cell r="E110" t="str">
            <v>Personnel journalier</v>
          </cell>
        </row>
        <row r="111">
          <cell r="D111">
            <v>1637</v>
          </cell>
          <cell r="E111" t="str">
            <v>Personnel stagiaire et assimilé</v>
          </cell>
        </row>
        <row r="112">
          <cell r="D112">
            <v>1639</v>
          </cell>
          <cell r="E112" t="str">
            <v>Autres personnels</v>
          </cell>
        </row>
        <row r="113">
          <cell r="D113">
            <v>164</v>
          </cell>
          <cell r="E113" t="str">
            <v>Boni. Personnel contractuel</v>
          </cell>
        </row>
        <row r="114">
          <cell r="D114">
            <v>165</v>
          </cell>
          <cell r="E114" t="str">
            <v>Boni. Personnel vacataire</v>
          </cell>
        </row>
        <row r="115">
          <cell r="D115">
            <v>166</v>
          </cell>
          <cell r="E115" t="str">
            <v>Boni. Personnel journalier</v>
          </cell>
        </row>
        <row r="116">
          <cell r="D116">
            <v>167</v>
          </cell>
          <cell r="E116" t="str">
            <v>Boni. Personnel stagiaire et assimilé</v>
          </cell>
        </row>
        <row r="117">
          <cell r="D117">
            <v>169</v>
          </cell>
          <cell r="E117" t="str">
            <v>Boni. Autres personnels</v>
          </cell>
        </row>
        <row r="118">
          <cell r="D118">
            <v>17</v>
          </cell>
          <cell r="E118" t="str">
            <v>Protection sociale</v>
          </cell>
        </row>
        <row r="119">
          <cell r="D119">
            <v>170</v>
          </cell>
          <cell r="E119" t="str">
            <v>Protection sociale. Personnel de carrière</v>
          </cell>
        </row>
        <row r="120">
          <cell r="D120">
            <v>1700</v>
          </cell>
          <cell r="E120" t="str">
            <v>Assurance maternité, vie et santé</v>
          </cell>
        </row>
        <row r="121">
          <cell r="D121">
            <v>1701</v>
          </cell>
          <cell r="E121" t="str">
            <v>Assurance accident du travail</v>
          </cell>
        </row>
        <row r="122">
          <cell r="D122">
            <v>1709</v>
          </cell>
          <cell r="E122" t="str">
            <v>Autre protection sociale</v>
          </cell>
        </row>
        <row r="123">
          <cell r="D123">
            <v>171</v>
          </cell>
          <cell r="E123" t="str">
            <v>Protection sociale. Président de la République et Elus du pouvoir législatif</v>
          </cell>
        </row>
        <row r="124">
          <cell r="D124">
            <v>1710</v>
          </cell>
          <cell r="E124" t="str">
            <v>Assurance maternité, vie et santé</v>
          </cell>
        </row>
        <row r="125">
          <cell r="D125">
            <v>1711</v>
          </cell>
          <cell r="E125" t="str">
            <v>Assurance accident du travail</v>
          </cell>
        </row>
        <row r="126">
          <cell r="D126">
            <v>1719</v>
          </cell>
          <cell r="E126" t="str">
            <v>Autre protection sociale</v>
          </cell>
        </row>
        <row r="127">
          <cell r="D127">
            <v>172</v>
          </cell>
          <cell r="E127" t="str">
            <v>Protection sociale. Grands commis de l'Etat</v>
          </cell>
        </row>
        <row r="128">
          <cell r="D128">
            <v>1720</v>
          </cell>
          <cell r="E128" t="str">
            <v>Assurance maternité, vie et santé</v>
          </cell>
        </row>
        <row r="129">
          <cell r="D129">
            <v>1721</v>
          </cell>
          <cell r="E129" t="str">
            <v>Assurance accident du travail</v>
          </cell>
        </row>
        <row r="130">
          <cell r="D130">
            <v>1729</v>
          </cell>
          <cell r="E130" t="str">
            <v>Autre protection sociale</v>
          </cell>
        </row>
        <row r="131">
          <cell r="D131">
            <v>173</v>
          </cell>
          <cell r="E131" t="str">
            <v>Protection sociale. Membres et Personnel du corps diplomatique et consulaire</v>
          </cell>
        </row>
        <row r="132">
          <cell r="D132">
            <v>1730</v>
          </cell>
          <cell r="E132" t="str">
            <v>Assurance maternité, vie et santé</v>
          </cell>
        </row>
        <row r="133">
          <cell r="D133">
            <v>1731</v>
          </cell>
          <cell r="E133" t="str">
            <v>Assurance accident du travail</v>
          </cell>
        </row>
        <row r="134">
          <cell r="D134">
            <v>1739</v>
          </cell>
          <cell r="E134" t="str">
            <v>Autre protection sociale</v>
          </cell>
        </row>
        <row r="135">
          <cell r="D135">
            <v>174</v>
          </cell>
          <cell r="E135" t="str">
            <v>Protection sociale. Personnel contractuel</v>
          </cell>
        </row>
        <row r="136">
          <cell r="D136">
            <v>1740</v>
          </cell>
          <cell r="E136" t="str">
            <v>Assurance maternité, vie et santé</v>
          </cell>
        </row>
        <row r="137">
          <cell r="D137">
            <v>1741</v>
          </cell>
          <cell r="E137" t="str">
            <v>Assurance accident du travail</v>
          </cell>
        </row>
        <row r="138">
          <cell r="D138">
            <v>1749</v>
          </cell>
          <cell r="E138" t="str">
            <v>Autre protection sociale</v>
          </cell>
        </row>
        <row r="139">
          <cell r="D139">
            <v>175</v>
          </cell>
          <cell r="E139" t="str">
            <v>Protection sociale. Personnel vacataire</v>
          </cell>
        </row>
        <row r="140">
          <cell r="D140">
            <v>1750</v>
          </cell>
          <cell r="E140" t="str">
            <v>Assurance maternité, vie et santé</v>
          </cell>
        </row>
        <row r="141">
          <cell r="D141">
            <v>1751</v>
          </cell>
          <cell r="E141" t="str">
            <v>Assurance accident du travail</v>
          </cell>
        </row>
        <row r="142">
          <cell r="D142">
            <v>1759</v>
          </cell>
          <cell r="E142" t="str">
            <v>Autre protection sociale</v>
          </cell>
        </row>
        <row r="143">
          <cell r="D143">
            <v>176</v>
          </cell>
          <cell r="E143" t="str">
            <v>Protection sociale. Personnel journalier</v>
          </cell>
        </row>
        <row r="144">
          <cell r="D144">
            <v>1760</v>
          </cell>
          <cell r="E144" t="str">
            <v>Assurance maternité, vie et santé</v>
          </cell>
        </row>
        <row r="145">
          <cell r="D145">
            <v>1761</v>
          </cell>
          <cell r="E145" t="str">
            <v>Assurance accident du travail</v>
          </cell>
        </row>
        <row r="146">
          <cell r="D146">
            <v>1769</v>
          </cell>
          <cell r="E146" t="str">
            <v>Autre protection sociale</v>
          </cell>
        </row>
        <row r="147">
          <cell r="D147">
            <v>177</v>
          </cell>
          <cell r="E147" t="str">
            <v>Protection sociale. Personnel stagiaire et assimilé</v>
          </cell>
        </row>
        <row r="148">
          <cell r="D148">
            <v>1770</v>
          </cell>
          <cell r="E148" t="str">
            <v>Assurance maternité, vie et santé</v>
          </cell>
        </row>
        <row r="149">
          <cell r="D149">
            <v>1771</v>
          </cell>
          <cell r="E149" t="str">
            <v>Assurance accident du travail</v>
          </cell>
        </row>
        <row r="150">
          <cell r="D150">
            <v>1779</v>
          </cell>
          <cell r="E150" t="str">
            <v>Autre protection sociale</v>
          </cell>
        </row>
        <row r="151">
          <cell r="D151">
            <v>179</v>
          </cell>
          <cell r="E151" t="str">
            <v>Protection sociale. Autres personnels</v>
          </cell>
        </row>
        <row r="152">
          <cell r="D152">
            <v>1790</v>
          </cell>
          <cell r="E152" t="str">
            <v>Assurance maternité, vie et santé</v>
          </cell>
        </row>
        <row r="153">
          <cell r="D153">
            <v>1791</v>
          </cell>
          <cell r="E153" t="str">
            <v>Assurance accident du travail</v>
          </cell>
        </row>
        <row r="154">
          <cell r="D154">
            <v>1799</v>
          </cell>
          <cell r="E154" t="str">
            <v>Autre protection sociale</v>
          </cell>
        </row>
        <row r="155">
          <cell r="D155">
            <v>18</v>
          </cell>
          <cell r="E155" t="str">
            <v>Traitement en nature</v>
          </cell>
        </row>
        <row r="156">
          <cell r="D156">
            <v>180</v>
          </cell>
          <cell r="E156" t="str">
            <v>Traitement en nature. Personnel de carrière</v>
          </cell>
        </row>
        <row r="157">
          <cell r="D157">
            <v>1800</v>
          </cell>
          <cell r="E157" t="str">
            <v xml:space="preserve">soutien financier </v>
          </cell>
        </row>
        <row r="158">
          <cell r="D158">
            <v>1801</v>
          </cell>
          <cell r="E158" t="str">
            <v xml:space="preserve">bon de carburant </v>
          </cell>
        </row>
        <row r="159">
          <cell r="D159">
            <v>1802</v>
          </cell>
          <cell r="E159" t="str">
            <v>carte de recharge et abonnement téléphonique et internet</v>
          </cell>
        </row>
        <row r="160">
          <cell r="D160">
            <v>1803</v>
          </cell>
          <cell r="E160" t="str">
            <v>Alimentation de personnes</v>
          </cell>
        </row>
        <row r="161">
          <cell r="D161">
            <v>1809</v>
          </cell>
          <cell r="E161" t="str">
            <v xml:space="preserve">Autres traitements en nature </v>
          </cell>
        </row>
        <row r="162">
          <cell r="D162">
            <v>181</v>
          </cell>
          <cell r="E162" t="str">
            <v>Traitement en nature. Président de la République et Elus du pouvoir législatif</v>
          </cell>
        </row>
        <row r="163">
          <cell r="D163">
            <v>1810</v>
          </cell>
          <cell r="E163" t="str">
            <v xml:space="preserve">soutien financier </v>
          </cell>
        </row>
        <row r="164">
          <cell r="D164">
            <v>1811</v>
          </cell>
          <cell r="E164" t="str">
            <v xml:space="preserve">bon de carburant </v>
          </cell>
        </row>
        <row r="165">
          <cell r="D165">
            <v>1812</v>
          </cell>
          <cell r="E165" t="str">
            <v>carte de recharge et abonnement téléphonique et internet</v>
          </cell>
        </row>
        <row r="166">
          <cell r="D166">
            <v>1813</v>
          </cell>
          <cell r="E166" t="str">
            <v>Alimentation de personnes</v>
          </cell>
        </row>
        <row r="167">
          <cell r="D167">
            <v>1819</v>
          </cell>
          <cell r="E167" t="str">
            <v xml:space="preserve">Autres traitements en nature </v>
          </cell>
        </row>
        <row r="168">
          <cell r="D168">
            <v>182</v>
          </cell>
          <cell r="E168" t="str">
            <v>Traitement en nature. Grands commis de l'Etat</v>
          </cell>
        </row>
        <row r="169">
          <cell r="D169">
            <v>1820</v>
          </cell>
          <cell r="E169" t="str">
            <v xml:space="preserve">soutien financier </v>
          </cell>
        </row>
        <row r="170">
          <cell r="D170">
            <v>1821</v>
          </cell>
          <cell r="E170" t="str">
            <v xml:space="preserve">bon de carburant </v>
          </cell>
        </row>
        <row r="171">
          <cell r="D171">
            <v>1822</v>
          </cell>
          <cell r="E171" t="str">
            <v>carte de recharge et abonnement téléphonique et internet</v>
          </cell>
        </row>
        <row r="172">
          <cell r="D172">
            <v>1823</v>
          </cell>
          <cell r="E172" t="str">
            <v>Alimentation de personnes</v>
          </cell>
        </row>
        <row r="173">
          <cell r="D173">
            <v>1829</v>
          </cell>
          <cell r="E173" t="str">
            <v xml:space="preserve">Autres traitements en nature </v>
          </cell>
        </row>
        <row r="174">
          <cell r="D174">
            <v>183</v>
          </cell>
          <cell r="E174" t="str">
            <v>Traitement en nature.  Membres et Personnel du corps diplomatique et consulaire</v>
          </cell>
        </row>
        <row r="175">
          <cell r="D175">
            <v>1830</v>
          </cell>
          <cell r="E175" t="str">
            <v xml:space="preserve">soutien financier </v>
          </cell>
        </row>
        <row r="176">
          <cell r="D176">
            <v>1831</v>
          </cell>
          <cell r="E176" t="str">
            <v xml:space="preserve">bon de carburant </v>
          </cell>
        </row>
        <row r="177">
          <cell r="D177">
            <v>1832</v>
          </cell>
          <cell r="E177" t="str">
            <v>carte de recharge et abonnement téléphonique et internet</v>
          </cell>
        </row>
        <row r="178">
          <cell r="D178">
            <v>1833</v>
          </cell>
          <cell r="E178" t="str">
            <v>Alimentation de personnes</v>
          </cell>
        </row>
        <row r="179">
          <cell r="D179">
            <v>1839</v>
          </cell>
          <cell r="E179" t="str">
            <v xml:space="preserve">Autres traitements en nature </v>
          </cell>
        </row>
        <row r="180">
          <cell r="D180">
            <v>184</v>
          </cell>
          <cell r="E180" t="str">
            <v>Traitement en nature.  Personnel contractuel</v>
          </cell>
        </row>
        <row r="181">
          <cell r="D181">
            <v>1840</v>
          </cell>
          <cell r="E181" t="str">
            <v xml:space="preserve">soutien financier </v>
          </cell>
        </row>
        <row r="182">
          <cell r="D182">
            <v>1831</v>
          </cell>
          <cell r="E182" t="str">
            <v xml:space="preserve">bon de carburant </v>
          </cell>
        </row>
        <row r="183">
          <cell r="D183">
            <v>1842</v>
          </cell>
          <cell r="E183" t="str">
            <v>carte de recharge et abonnement téléphonique et internet</v>
          </cell>
        </row>
        <row r="184">
          <cell r="D184">
            <v>1843</v>
          </cell>
          <cell r="E184" t="str">
            <v>Alimentation de personnes</v>
          </cell>
        </row>
        <row r="185">
          <cell r="D185">
            <v>1849</v>
          </cell>
          <cell r="E185" t="str">
            <v xml:space="preserve">Autres traitements en nature </v>
          </cell>
        </row>
        <row r="186">
          <cell r="D186">
            <v>185</v>
          </cell>
          <cell r="E186" t="str">
            <v>Traitement en nature.  Personnel vacataire</v>
          </cell>
        </row>
        <row r="187">
          <cell r="D187">
            <v>1850</v>
          </cell>
          <cell r="E187" t="str">
            <v xml:space="preserve">soutien financier </v>
          </cell>
        </row>
        <row r="188">
          <cell r="D188">
            <v>1851</v>
          </cell>
          <cell r="E188" t="str">
            <v xml:space="preserve">bon de carburant </v>
          </cell>
        </row>
        <row r="189">
          <cell r="D189">
            <v>1852</v>
          </cell>
          <cell r="E189" t="str">
            <v>carte de recharge et abonnement téléphonique et internet</v>
          </cell>
        </row>
        <row r="190">
          <cell r="D190">
            <v>1853</v>
          </cell>
          <cell r="E190" t="str">
            <v>Alimentation de personnes</v>
          </cell>
        </row>
        <row r="191">
          <cell r="D191">
            <v>1859</v>
          </cell>
          <cell r="E191" t="str">
            <v xml:space="preserve">Autres traitements en nature </v>
          </cell>
        </row>
        <row r="192">
          <cell r="D192">
            <v>186</v>
          </cell>
          <cell r="E192" t="str">
            <v>Traitement en nature. Personnel journalier</v>
          </cell>
        </row>
        <row r="193">
          <cell r="D193">
            <v>1860</v>
          </cell>
          <cell r="E193" t="str">
            <v xml:space="preserve">soutien financier </v>
          </cell>
        </row>
        <row r="194">
          <cell r="D194">
            <v>1861</v>
          </cell>
          <cell r="E194" t="str">
            <v xml:space="preserve">bon de carburant </v>
          </cell>
        </row>
        <row r="195">
          <cell r="D195">
            <v>1862</v>
          </cell>
          <cell r="E195" t="str">
            <v>carte de recharge et abonnement téléphonique et internet</v>
          </cell>
        </row>
        <row r="196">
          <cell r="D196">
            <v>1863</v>
          </cell>
          <cell r="E196" t="str">
            <v>Alimentation de personnes</v>
          </cell>
        </row>
        <row r="197">
          <cell r="D197">
            <v>1869</v>
          </cell>
          <cell r="E197" t="str">
            <v xml:space="preserve">Autres traitements en nature </v>
          </cell>
        </row>
        <row r="198">
          <cell r="D198">
            <v>187</v>
          </cell>
          <cell r="E198" t="str">
            <v>Protection sociale. Personnel stagiaire et assimilé</v>
          </cell>
        </row>
        <row r="199">
          <cell r="D199">
            <v>1870</v>
          </cell>
          <cell r="E199" t="str">
            <v xml:space="preserve">soutien financier </v>
          </cell>
        </row>
        <row r="200">
          <cell r="D200">
            <v>1871</v>
          </cell>
          <cell r="E200" t="str">
            <v xml:space="preserve">bon de carburant </v>
          </cell>
        </row>
        <row r="201">
          <cell r="D201">
            <v>1872</v>
          </cell>
          <cell r="E201" t="str">
            <v>carte de recharge et abonnement téléphonique et internet</v>
          </cell>
        </row>
        <row r="202">
          <cell r="D202">
            <v>1873</v>
          </cell>
          <cell r="E202" t="str">
            <v>Alimentation de personnes</v>
          </cell>
        </row>
        <row r="203">
          <cell r="D203">
            <v>1879</v>
          </cell>
          <cell r="E203" t="str">
            <v xml:space="preserve">Autres traitements en nature </v>
          </cell>
        </row>
        <row r="204">
          <cell r="D204">
            <v>189</v>
          </cell>
          <cell r="E204" t="str">
            <v>Protection sociale. Autres personnels</v>
          </cell>
        </row>
        <row r="205">
          <cell r="D205">
            <v>1890</v>
          </cell>
          <cell r="E205" t="str">
            <v xml:space="preserve">soutien financier </v>
          </cell>
        </row>
        <row r="206">
          <cell r="D206">
            <v>1891</v>
          </cell>
          <cell r="E206" t="str">
            <v xml:space="preserve">bon de carburant </v>
          </cell>
        </row>
        <row r="207">
          <cell r="D207">
            <v>1892</v>
          </cell>
          <cell r="E207" t="str">
            <v>carte de recharge et abonnement téléphonique et internet</v>
          </cell>
        </row>
        <row r="208">
          <cell r="D208">
            <v>1893</v>
          </cell>
          <cell r="E208" t="str">
            <v>Alimentation de personnes</v>
          </cell>
        </row>
        <row r="209">
          <cell r="D209">
            <v>1899</v>
          </cell>
          <cell r="E209" t="str">
            <v xml:space="preserve">Autres traitements en nature </v>
          </cell>
        </row>
        <row r="210">
          <cell r="D210">
            <v>19</v>
          </cell>
          <cell r="E210" t="str">
            <v>Taxe sur la masse salariale</v>
          </cell>
        </row>
        <row r="211">
          <cell r="D211">
            <v>190</v>
          </cell>
          <cell r="E211" t="str">
            <v>Taxe sur masse salariale. Personnel de carrière</v>
          </cell>
        </row>
        <row r="212">
          <cell r="D212">
            <v>191</v>
          </cell>
          <cell r="E212" t="str">
            <v>Taxe sur masse salariale. Président de la République et Elus du pouvoir législatif</v>
          </cell>
        </row>
        <row r="213">
          <cell r="D213">
            <v>192</v>
          </cell>
          <cell r="E213" t="str">
            <v>Taxe sur masse salariale. Grands commis de l'Etat</v>
          </cell>
        </row>
        <row r="214">
          <cell r="D214">
            <v>193</v>
          </cell>
          <cell r="E214" t="str">
            <v>Taxe sur masse salariale. Membres et Personnel du corps diplomatique et consulaire</v>
          </cell>
        </row>
        <row r="215">
          <cell r="D215">
            <v>194</v>
          </cell>
          <cell r="E215" t="str">
            <v>Taxe sur masse salariale. Personnel contractuel</v>
          </cell>
        </row>
        <row r="216">
          <cell r="D216">
            <v>195</v>
          </cell>
          <cell r="E216" t="str">
            <v>Taxe sur masse salariale. Personnel vacataire</v>
          </cell>
        </row>
        <row r="217">
          <cell r="D217">
            <v>196</v>
          </cell>
          <cell r="E217" t="str">
            <v>Taxe sur masse salariale. Personnel journalier</v>
          </cell>
        </row>
        <row r="218">
          <cell r="D218">
            <v>197</v>
          </cell>
          <cell r="E218" t="str">
            <v>Taxe sur la masse salariale. Personnel stagiaire et assimilé</v>
          </cell>
        </row>
        <row r="219">
          <cell r="D219">
            <v>199</v>
          </cell>
          <cell r="E219" t="str">
            <v>Taxe sur la masse salariale. Autres personnels</v>
          </cell>
        </row>
        <row r="220">
          <cell r="D220">
            <v>2</v>
          </cell>
          <cell r="E220" t="str">
            <v>DEPENSES DE SERVICES ET CHARGES DIVERSES</v>
          </cell>
        </row>
        <row r="221">
          <cell r="D221">
            <v>20</v>
          </cell>
          <cell r="E221" t="str">
            <v>Services de base</v>
          </cell>
        </row>
        <row r="222">
          <cell r="D222">
            <v>200</v>
          </cell>
          <cell r="E222" t="str">
            <v>Frais de télécommunications</v>
          </cell>
        </row>
        <row r="223">
          <cell r="D223">
            <v>201</v>
          </cell>
          <cell r="E223" t="str">
            <v>Poste et correspondance</v>
          </cell>
        </row>
        <row r="224">
          <cell r="D224">
            <v>2010</v>
          </cell>
          <cell r="E224" t="str">
            <v>Frais postaux</v>
          </cell>
        </row>
        <row r="225">
          <cell r="D225">
            <v>2011</v>
          </cell>
          <cell r="E225" t="str">
            <v>Autres frais de transport de correspondance</v>
          </cell>
        </row>
        <row r="226">
          <cell r="D226">
            <v>202</v>
          </cell>
          <cell r="E226" t="str">
            <v>Fourniture d'eau</v>
          </cell>
        </row>
        <row r="227">
          <cell r="D227">
            <v>203</v>
          </cell>
          <cell r="E227" t="str">
            <v>Fourniture d'énergie électrique</v>
          </cell>
        </row>
        <row r="228">
          <cell r="D228">
            <v>204</v>
          </cell>
          <cell r="E228" t="str">
            <v>Fourniture de gaz</v>
          </cell>
        </row>
        <row r="229">
          <cell r="D229">
            <v>21</v>
          </cell>
          <cell r="E229" t="str">
            <v xml:space="preserve">Publicité, promotion, impression, reproduction, reliure </v>
          </cell>
        </row>
        <row r="230">
          <cell r="D230">
            <v>210</v>
          </cell>
          <cell r="E230" t="str">
            <v>Publicité, promotion, propagande et relations publiques</v>
          </cell>
        </row>
        <row r="231">
          <cell r="D231">
            <v>211</v>
          </cell>
          <cell r="E231" t="str">
            <v>Impression, reproduction, reliure</v>
          </cell>
        </row>
        <row r="232">
          <cell r="D232">
            <v>219</v>
          </cell>
          <cell r="E232" t="str">
            <v>Autres dépenses de publicité et promotion</v>
          </cell>
        </row>
        <row r="233">
          <cell r="D233">
            <v>22</v>
          </cell>
          <cell r="E233" t="str">
            <v xml:space="preserve">Transports et déplacements </v>
          </cell>
        </row>
        <row r="234">
          <cell r="D234">
            <v>220</v>
          </cell>
          <cell r="E234" t="str">
            <v>Transports de personnes. Titres de transport</v>
          </cell>
        </row>
        <row r="235">
          <cell r="D235">
            <v>221</v>
          </cell>
          <cell r="E235" t="str">
            <v>Déplacements de personnes. Frais de séjour à l'intérieur</v>
          </cell>
        </row>
        <row r="236">
          <cell r="D236">
            <v>222</v>
          </cell>
          <cell r="E236" t="str">
            <v>Déplacements de personnes. Frais de séjour à l'extérieur</v>
          </cell>
        </row>
        <row r="237">
          <cell r="D237">
            <v>223</v>
          </cell>
          <cell r="E237" t="str">
            <v>Transports de biens. Frets, transports et déménagements</v>
          </cell>
        </row>
        <row r="238">
          <cell r="D238">
            <v>224</v>
          </cell>
          <cell r="E238" t="str">
            <v>Transports de biens. Frais de valise diplomatique</v>
          </cell>
        </row>
        <row r="239">
          <cell r="D239">
            <v>229</v>
          </cell>
          <cell r="E239" t="str">
            <v>Autres frais de transports de personnes et de biens</v>
          </cell>
        </row>
        <row r="240">
          <cell r="D240">
            <v>23</v>
          </cell>
          <cell r="E240" t="str">
            <v>Formation</v>
          </cell>
        </row>
        <row r="241">
          <cell r="D241">
            <v>230</v>
          </cell>
          <cell r="E241" t="str">
            <v>Versements à des organismes de formation à l'intérieur du pays</v>
          </cell>
        </row>
        <row r="242">
          <cell r="D242">
            <v>231</v>
          </cell>
          <cell r="E242" t="str">
            <v>Versements à des organismes de formation à l'extérieur du pays</v>
          </cell>
        </row>
        <row r="243">
          <cell r="D243">
            <v>232</v>
          </cell>
          <cell r="E243" t="str">
            <v>Frais de colloques et de séminaires</v>
          </cell>
        </row>
        <row r="244">
          <cell r="D244">
            <v>239</v>
          </cell>
          <cell r="E244" t="str">
            <v>Autres frais divers liés à la formation</v>
          </cell>
        </row>
        <row r="245">
          <cell r="D245">
            <v>24</v>
          </cell>
          <cell r="E245" t="str">
            <v xml:space="preserve">Locations immobilières et mobilières </v>
          </cell>
        </row>
        <row r="246">
          <cell r="D246">
            <v>240</v>
          </cell>
          <cell r="E246" t="str">
            <v>Locations d'immeubles</v>
          </cell>
        </row>
        <row r="247">
          <cell r="D247">
            <v>241</v>
          </cell>
          <cell r="E247" t="str">
            <v>Locations d'équipements et matériels</v>
          </cell>
        </row>
        <row r="248">
          <cell r="D248">
            <v>242</v>
          </cell>
          <cell r="E248" t="str">
            <v>Locations de moyens de transports</v>
          </cell>
        </row>
        <row r="249">
          <cell r="D249">
            <v>249</v>
          </cell>
          <cell r="E249" t="str">
            <v>Locations diverses</v>
          </cell>
        </row>
        <row r="250">
          <cell r="D250">
            <v>25</v>
          </cell>
          <cell r="E250" t="str">
            <v>Entretien sur biens mobiliers et immobiliers</v>
          </cell>
        </row>
        <row r="251">
          <cell r="D251">
            <v>250</v>
          </cell>
          <cell r="E251" t="str">
            <v>Entretien de mobilier, matériel et outillage</v>
          </cell>
        </row>
        <row r="252">
          <cell r="D252">
            <v>2500</v>
          </cell>
          <cell r="E252" t="str">
            <v>Mobilier et matériel de bureau</v>
          </cell>
        </row>
        <row r="253">
          <cell r="D253">
            <v>2501</v>
          </cell>
          <cell r="E253" t="str">
            <v>Matériel mécanographique, informatique et télématique</v>
          </cell>
        </row>
        <row r="254">
          <cell r="D254">
            <v>2502</v>
          </cell>
          <cell r="E254" t="str">
            <v>Mobilier et matériel éducatifs, récréatifs, culturels et sportifs</v>
          </cell>
        </row>
        <row r="255">
          <cell r="D255">
            <v>2503</v>
          </cell>
          <cell r="E255" t="str">
            <v>Mobilier et matériel sanitaire</v>
          </cell>
        </row>
        <row r="256">
          <cell r="D256">
            <v>2504</v>
          </cell>
          <cell r="E256" t="str">
            <v>Mobilier et matériel médicaux, chirurgicaux et paramédicaux</v>
          </cell>
        </row>
        <row r="257">
          <cell r="D257">
            <v>2505</v>
          </cell>
          <cell r="E257" t="str">
            <v>Mobilier et matériel électroménager</v>
          </cell>
        </row>
        <row r="258">
          <cell r="D258">
            <v>2506</v>
          </cell>
          <cell r="E258" t="str">
            <v>Matériel et outillage technique, électrique et mécanique</v>
          </cell>
        </row>
        <row r="259">
          <cell r="D259">
            <v>2507</v>
          </cell>
          <cell r="E259" t="str">
            <v>Matériel d'incendie, de police et de défense</v>
          </cell>
        </row>
        <row r="260">
          <cell r="D260">
            <v>2508</v>
          </cell>
          <cell r="E260" t="str">
            <v>Matériel de télécommunications</v>
          </cell>
        </row>
        <row r="261">
          <cell r="D261">
            <v>2509</v>
          </cell>
          <cell r="E261" t="str">
            <v>Autre mobilier, matériel et outillage</v>
          </cell>
        </row>
        <row r="262">
          <cell r="D262">
            <v>251</v>
          </cell>
          <cell r="E262" t="str">
            <v>Entretien de matériel de transport</v>
          </cell>
        </row>
        <row r="263">
          <cell r="D263">
            <v>2510</v>
          </cell>
          <cell r="E263" t="str">
            <v>Matériel de transport terrestre</v>
          </cell>
        </row>
        <row r="264">
          <cell r="D264">
            <v>2511</v>
          </cell>
          <cell r="E264" t="str">
            <v>Matériel de transport ferroviaire</v>
          </cell>
        </row>
        <row r="265">
          <cell r="D265">
            <v>2512</v>
          </cell>
          <cell r="E265" t="str">
            <v>Matériel de transport fluvial et maritime</v>
          </cell>
        </row>
        <row r="266">
          <cell r="D266">
            <v>2513</v>
          </cell>
          <cell r="E266" t="str">
            <v>Matériel de transport aérien</v>
          </cell>
        </row>
        <row r="267">
          <cell r="D267">
            <v>2519</v>
          </cell>
          <cell r="E267" t="str">
            <v>Autre matériel de transport</v>
          </cell>
        </row>
        <row r="268">
          <cell r="D268">
            <v>252</v>
          </cell>
          <cell r="E268" t="str">
            <v>Entretien de collections et œuvres d'art</v>
          </cell>
        </row>
        <row r="269">
          <cell r="D269">
            <v>2520</v>
          </cell>
          <cell r="E269" t="str">
            <v>Œuvres et objets d'art</v>
          </cell>
        </row>
        <row r="270">
          <cell r="D270">
            <v>2521</v>
          </cell>
          <cell r="E270" t="str">
            <v>Fonds des bibliothèques et des musées</v>
          </cell>
        </row>
        <row r="271">
          <cell r="D271">
            <v>2529</v>
          </cell>
          <cell r="E271" t="str">
            <v>Autres collections et œuvres d'art</v>
          </cell>
        </row>
        <row r="272">
          <cell r="D272">
            <v>253</v>
          </cell>
          <cell r="E272" t="str">
            <v>Entretien de terrains</v>
          </cell>
        </row>
        <row r="273">
          <cell r="D273">
            <v>2530</v>
          </cell>
          <cell r="E273" t="str">
            <v>Terrains à bâtir</v>
          </cell>
        </row>
        <row r="274">
          <cell r="D274">
            <v>2531</v>
          </cell>
          <cell r="E274" t="str">
            <v xml:space="preserve">Terrains de voirie </v>
          </cell>
        </row>
        <row r="275">
          <cell r="D275">
            <v>2532</v>
          </cell>
          <cell r="E275" t="str">
            <v>Jardins, espaces verts, places publiques</v>
          </cell>
        </row>
        <row r="276">
          <cell r="D276">
            <v>2533</v>
          </cell>
          <cell r="E276" t="str">
            <v>Cimetières</v>
          </cell>
        </row>
        <row r="277">
          <cell r="D277">
            <v>2534</v>
          </cell>
          <cell r="E277" t="str">
            <v>Carrières, mines</v>
          </cell>
        </row>
        <row r="278">
          <cell r="D278">
            <v>2535</v>
          </cell>
          <cell r="E278" t="str">
            <v>Propriétés agricoles</v>
          </cell>
        </row>
        <row r="279">
          <cell r="D279">
            <v>2539</v>
          </cell>
          <cell r="E279" t="str">
            <v>Autres terrains</v>
          </cell>
        </row>
        <row r="280">
          <cell r="D280">
            <v>254</v>
          </cell>
          <cell r="E280" t="str">
            <v>Entretien de bois, forêts et plantations</v>
          </cell>
        </row>
        <row r="281">
          <cell r="D281">
            <v>2540</v>
          </cell>
          <cell r="E281" t="str">
            <v>Bois et forêts</v>
          </cell>
        </row>
        <row r="282">
          <cell r="D282">
            <v>2541</v>
          </cell>
          <cell r="E282" t="str">
            <v xml:space="preserve"> Plantations</v>
          </cell>
        </row>
        <row r="283">
          <cell r="D283">
            <v>255</v>
          </cell>
          <cell r="E283" t="str">
            <v>Entretien du littoral, des étangs et des lacs</v>
          </cell>
        </row>
        <row r="284">
          <cell r="D284">
            <v>2550</v>
          </cell>
          <cell r="E284" t="str">
            <v>Littoral</v>
          </cell>
        </row>
        <row r="285">
          <cell r="D285">
            <v>2551</v>
          </cell>
          <cell r="E285" t="str">
            <v>Etangs et lacs</v>
          </cell>
        </row>
        <row r="286">
          <cell r="D286">
            <v>256</v>
          </cell>
          <cell r="E286" t="str">
            <v>Entretien de bâtiments</v>
          </cell>
        </row>
        <row r="287">
          <cell r="D287">
            <v>2560</v>
          </cell>
          <cell r="E287" t="str">
            <v>Bâtiments administratifs</v>
          </cell>
        </row>
        <row r="288">
          <cell r="D288">
            <v>2561</v>
          </cell>
          <cell r="E288" t="str">
            <v>Bâtiments scolaires, universitaires, culturels et sportifs</v>
          </cell>
        </row>
        <row r="289">
          <cell r="D289">
            <v>2562</v>
          </cell>
          <cell r="E289" t="str">
            <v>Logements sociaux</v>
          </cell>
        </row>
        <row r="290">
          <cell r="D290">
            <v>2563</v>
          </cell>
          <cell r="E290" t="str">
            <v>Résidences de fonction</v>
          </cell>
        </row>
        <row r="291">
          <cell r="D291">
            <v>2564</v>
          </cell>
          <cell r="E291" t="str">
            <v>Halles et marchés</v>
          </cell>
        </row>
        <row r="292">
          <cell r="D292">
            <v>2569</v>
          </cell>
          <cell r="E292" t="str">
            <v>Autres bâtiments</v>
          </cell>
        </row>
        <row r="293">
          <cell r="D293">
            <v>257</v>
          </cell>
          <cell r="E293" t="str">
            <v>Entretien de voies, réseaux et ouvrages</v>
          </cell>
        </row>
        <row r="294">
          <cell r="D294">
            <v>2570</v>
          </cell>
          <cell r="E294" t="str">
            <v>Routes, ponts, ports et aéroports</v>
          </cell>
        </row>
        <row r="295">
          <cell r="D295">
            <v>2571</v>
          </cell>
          <cell r="E295" t="str">
            <v>Réseaux et ouvrages hydrauliques</v>
          </cell>
        </row>
        <row r="296">
          <cell r="D296">
            <v>2572</v>
          </cell>
          <cell r="E296" t="str">
            <v>Réseaux et ouvrages d'électrification</v>
          </cell>
        </row>
        <row r="297">
          <cell r="D297">
            <v>2573</v>
          </cell>
          <cell r="E297" t="str">
            <v>Réseaux et ouvrages de télécommunications</v>
          </cell>
        </row>
        <row r="298">
          <cell r="D298">
            <v>2579</v>
          </cell>
          <cell r="E298" t="str">
            <v>Autres voies, réseaux  et ouvrages</v>
          </cell>
        </row>
        <row r="299">
          <cell r="D299">
            <v>259</v>
          </cell>
          <cell r="E299" t="str">
            <v>Entretien d'autres immobilisations corporelles</v>
          </cell>
        </row>
        <row r="300">
          <cell r="D300">
            <v>2590</v>
          </cell>
          <cell r="E300" t="str">
            <v>Animaux vivants</v>
          </cell>
        </row>
        <row r="301">
          <cell r="D301">
            <v>2599</v>
          </cell>
          <cell r="E301" t="str">
            <v>Autres biens corporels</v>
          </cell>
        </row>
        <row r="302">
          <cell r="D302">
            <v>26</v>
          </cell>
          <cell r="E302" t="str">
            <v>Charges financières</v>
          </cell>
        </row>
        <row r="303">
          <cell r="D303">
            <v>260</v>
          </cell>
          <cell r="E303" t="str">
            <v>Commissions et frais</v>
          </cell>
        </row>
        <row r="304">
          <cell r="D304">
            <v>2600</v>
          </cell>
          <cell r="E304" t="str">
            <v>Pour recouvrement fiscal</v>
          </cell>
        </row>
        <row r="305">
          <cell r="D305">
            <v>2601</v>
          </cell>
          <cell r="E305" t="str">
            <v>Pour services financiers</v>
          </cell>
        </row>
        <row r="306">
          <cell r="D306">
            <v>2609</v>
          </cell>
          <cell r="E306" t="str">
            <v>Autres commissions et frais</v>
          </cell>
        </row>
        <row r="307">
          <cell r="D307">
            <v>261</v>
          </cell>
          <cell r="E307" t="str">
            <v>Pertes sur emprunts et engagements</v>
          </cell>
        </row>
        <row r="308">
          <cell r="D308">
            <v>2610</v>
          </cell>
          <cell r="E308" t="str">
            <v>Pertes de change</v>
          </cell>
        </row>
        <row r="309">
          <cell r="D309">
            <v>2619</v>
          </cell>
          <cell r="E309" t="str">
            <v xml:space="preserve"> Pertes diverses</v>
          </cell>
        </row>
        <row r="310">
          <cell r="D310">
            <v>262</v>
          </cell>
          <cell r="E310" t="str">
            <v>Intérêts de la Dette interne</v>
          </cell>
        </row>
        <row r="311">
          <cell r="D311">
            <v>2620</v>
          </cell>
          <cell r="E311" t="str">
            <v>Intérêts de la Dette envers la Banque centrale</v>
          </cell>
        </row>
        <row r="312">
          <cell r="D312">
            <v>2621</v>
          </cell>
          <cell r="E312" t="str">
            <v>Intérêts de la Dette envers les autres institutions financières locales</v>
          </cell>
        </row>
        <row r="313">
          <cell r="D313">
            <v>2622</v>
          </cell>
          <cell r="E313" t="str">
            <v xml:space="preserve">Intérêts des Bons du Trésor </v>
          </cell>
        </row>
        <row r="314">
          <cell r="D314">
            <v>2629</v>
          </cell>
          <cell r="E314" t="str">
            <v>Intérêts sur d'autres obligations intérieures</v>
          </cell>
        </row>
        <row r="315">
          <cell r="D315">
            <v>263</v>
          </cell>
          <cell r="E315" t="str">
            <v>Intérêts de la Dette externe</v>
          </cell>
        </row>
        <row r="316">
          <cell r="D316">
            <v>2630</v>
          </cell>
          <cell r="E316" t="str">
            <v>Intérêts de la Dette bilatérale</v>
          </cell>
        </row>
        <row r="317">
          <cell r="D317">
            <v>2631</v>
          </cell>
          <cell r="E317" t="str">
            <v>Intérêts de la Dette multilatérale</v>
          </cell>
        </row>
        <row r="318">
          <cell r="D318">
            <v>2632</v>
          </cell>
          <cell r="E318" t="str">
            <v>Intérêts de la Dette envers des institutions financières privées</v>
          </cell>
        </row>
        <row r="319">
          <cell r="D319">
            <v>2639</v>
          </cell>
          <cell r="E319" t="str">
            <v>Intérêts d'autres obligations extérieures</v>
          </cell>
        </row>
        <row r="320">
          <cell r="D320">
            <v>264</v>
          </cell>
          <cell r="E320" t="str">
            <v>Frais d'émission des emprunts et Bons du Trésor</v>
          </cell>
        </row>
        <row r="321">
          <cell r="D321">
            <v>265</v>
          </cell>
          <cell r="E321" t="str">
            <v>Versements d'intérêts résultant de la mise en jeu de garanties</v>
          </cell>
        </row>
        <row r="322">
          <cell r="D322">
            <v>269</v>
          </cell>
          <cell r="E322" t="str">
            <v>Autres charges financières</v>
          </cell>
        </row>
        <row r="323">
          <cell r="D323">
            <v>27</v>
          </cell>
          <cell r="E323" t="str">
            <v>Fêtes et cérémonies</v>
          </cell>
        </row>
        <row r="324">
          <cell r="D324">
            <v>270</v>
          </cell>
          <cell r="E324" t="str">
            <v>Frais de réceptions officielles</v>
          </cell>
        </row>
        <row r="325">
          <cell r="D325">
            <v>271</v>
          </cell>
          <cell r="E325" t="str">
            <v>Fêtes et cérémonies nationales</v>
          </cell>
        </row>
        <row r="326">
          <cell r="D326">
            <v>279</v>
          </cell>
          <cell r="E326" t="str">
            <v>Autres frais de réceptions et manifestations</v>
          </cell>
        </row>
        <row r="327">
          <cell r="D327">
            <v>28</v>
          </cell>
          <cell r="E327" t="str">
            <v>Dépenses pour charges de service public</v>
          </cell>
        </row>
        <row r="328">
          <cell r="D328">
            <v>280</v>
          </cell>
          <cell r="E328" t="str">
            <v>Allocation de fonctionnement aux organismes autonomes à caractère administratif,culturel ou scientifique</v>
          </cell>
        </row>
        <row r="329">
          <cell r="D329">
            <v>289</v>
          </cell>
          <cell r="E329" t="str">
            <v>Autres Allocations accordées aux organismes autonomes à caractère administratif,culturel ou scientifique</v>
          </cell>
        </row>
        <row r="330">
          <cell r="D330">
            <v>29</v>
          </cell>
          <cell r="E330" t="str">
            <v xml:space="preserve">Services et charges divers </v>
          </cell>
        </row>
        <row r="331">
          <cell r="D331">
            <v>290</v>
          </cell>
          <cell r="E331" t="str">
            <v>Prestations de services par des tiers</v>
          </cell>
        </row>
        <row r="332">
          <cell r="D332">
            <v>2900</v>
          </cell>
          <cell r="E332" t="str">
            <v>Contrats d'études et de consultation</v>
          </cell>
        </row>
        <row r="333">
          <cell r="D333">
            <v>2901</v>
          </cell>
          <cell r="E333" t="str">
            <v>Contrats de recherches</v>
          </cell>
        </row>
        <row r="334">
          <cell r="D334">
            <v>2909</v>
          </cell>
          <cell r="E334" t="str">
            <v>Autres prestations de services sur contrats</v>
          </cell>
        </row>
        <row r="335">
          <cell r="D335">
            <v>291</v>
          </cell>
          <cell r="E335" t="str">
            <v>Rémunérations d'intermédiaires et honoraires</v>
          </cell>
        </row>
        <row r="336">
          <cell r="D336">
            <v>2910</v>
          </cell>
          <cell r="E336" t="str">
            <v>Frais d'actes et de contentieux</v>
          </cell>
        </row>
        <row r="337">
          <cell r="D337">
            <v>2911</v>
          </cell>
          <cell r="E337" t="str">
            <v>Honoraires médicaux et chirurgicaux</v>
          </cell>
        </row>
        <row r="338">
          <cell r="D338">
            <v>2912</v>
          </cell>
          <cell r="E338" t="str">
            <v>Honoraires vétérinaires</v>
          </cell>
        </row>
        <row r="339">
          <cell r="D339">
            <v>2919</v>
          </cell>
          <cell r="E339" t="str">
            <v>Autres rémunérations et honoraires</v>
          </cell>
        </row>
        <row r="340">
          <cell r="D340">
            <v>292</v>
          </cell>
          <cell r="E340" t="str">
            <v>Charges diverses</v>
          </cell>
        </row>
        <row r="341">
          <cell r="D341">
            <v>2920</v>
          </cell>
          <cell r="E341" t="str">
            <v>Primes d'assurance pour risques et responsabilité civile</v>
          </cell>
        </row>
        <row r="342">
          <cell r="D342">
            <v>2929</v>
          </cell>
          <cell r="E342" t="str">
            <v>Autres charges diverses</v>
          </cell>
        </row>
        <row r="343">
          <cell r="D343">
            <v>299</v>
          </cell>
          <cell r="E343" t="str">
            <v>Dépenses de service sur petite caisse à ventiler</v>
          </cell>
        </row>
        <row r="344">
          <cell r="D344">
            <v>3</v>
          </cell>
          <cell r="E344" t="str">
            <v>ACHATS DE BIENS DE CONSOMMATION ET PETIT MATERIEL</v>
          </cell>
        </row>
        <row r="345">
          <cell r="D345">
            <v>30</v>
          </cell>
          <cell r="E345" t="str">
            <v>Fournitures et petit matériel</v>
          </cell>
        </row>
        <row r="346">
          <cell r="D346">
            <v>300</v>
          </cell>
          <cell r="E346" t="str">
            <v>Fournitures et petit matériel de bureau</v>
          </cell>
        </row>
        <row r="347">
          <cell r="D347">
            <v>301</v>
          </cell>
          <cell r="E347" t="str">
            <v>Fournitures et matériel éducatifs, récréatifs, culturels et sportifs</v>
          </cell>
        </row>
        <row r="348">
          <cell r="D348">
            <v>302</v>
          </cell>
          <cell r="E348" t="str">
            <v>Fournitures et petit matériel sanitaire</v>
          </cell>
        </row>
        <row r="349">
          <cell r="D349">
            <v>303</v>
          </cell>
          <cell r="E349" t="str">
            <v>Fournitures et outils médicaux, chirurgicaux, pharmaceutiques et vétérinaires</v>
          </cell>
        </row>
        <row r="350">
          <cell r="D350">
            <v>304</v>
          </cell>
          <cell r="E350" t="str">
            <v>Fournitures de pièces et accessoires pour matériel de transport</v>
          </cell>
        </row>
        <row r="351">
          <cell r="D351">
            <v>305</v>
          </cell>
          <cell r="E351" t="str">
            <v>Fournitures de pièces et accessoires d'outillage technique, électrique, mécanique et informatique</v>
          </cell>
        </row>
        <row r="352">
          <cell r="D352">
            <v>306</v>
          </cell>
          <cell r="E352" t="str">
            <v>Fournitures et matériaux de construction</v>
          </cell>
        </row>
        <row r="353">
          <cell r="D353">
            <v>307</v>
          </cell>
          <cell r="E353" t="str">
            <v>Fournitures de produits d'entretien, outils et instruments  ménagers et de nettoyage</v>
          </cell>
        </row>
        <row r="354">
          <cell r="D354">
            <v>308</v>
          </cell>
          <cell r="E354" t="str">
            <v>Fournitures de documentation professionnelle</v>
          </cell>
        </row>
        <row r="355">
          <cell r="D355">
            <v>309</v>
          </cell>
          <cell r="E355" t="str">
            <v>Autres fournitures et petit matériel</v>
          </cell>
        </row>
        <row r="356">
          <cell r="D356">
            <v>31</v>
          </cell>
          <cell r="E356" t="str">
            <v xml:space="preserve">Produits chimiques et fournitures  énergétiques </v>
          </cell>
        </row>
        <row r="357">
          <cell r="D357">
            <v>310</v>
          </cell>
          <cell r="E357" t="str">
            <v>Fertilisants, engrais, plants et semences</v>
          </cell>
        </row>
        <row r="358">
          <cell r="D358">
            <v>311</v>
          </cell>
          <cell r="E358" t="str">
            <v>Insecticides, désinfectants, autres éléments et produits chimiques</v>
          </cell>
        </row>
        <row r="359">
          <cell r="D359">
            <v>312</v>
          </cell>
          <cell r="E359" t="str">
            <v>Carburants et lubrifiants</v>
          </cell>
        </row>
        <row r="360">
          <cell r="D360">
            <v>313</v>
          </cell>
          <cell r="E360" t="str">
            <v>Combustibles</v>
          </cell>
        </row>
        <row r="361">
          <cell r="D361">
            <v>319</v>
          </cell>
          <cell r="E361" t="str">
            <v>Autres produits chimiques et fournitures énergétiques</v>
          </cell>
        </row>
        <row r="362">
          <cell r="D362">
            <v>32</v>
          </cell>
          <cell r="E362" t="str">
            <v xml:space="preserve">Produits de subsistance </v>
          </cell>
        </row>
        <row r="363">
          <cell r="D363">
            <v>320</v>
          </cell>
          <cell r="E363" t="str">
            <v>Alimentation des personnes</v>
          </cell>
        </row>
        <row r="364">
          <cell r="D364">
            <v>321</v>
          </cell>
          <cell r="E364" t="str">
            <v>Alimentation des animaux</v>
          </cell>
        </row>
        <row r="365">
          <cell r="D365">
            <v>329</v>
          </cell>
          <cell r="E365" t="str">
            <v>Autres produits de subsistance</v>
          </cell>
        </row>
        <row r="366">
          <cell r="D366">
            <v>33</v>
          </cell>
          <cell r="E366" t="str">
            <v>Textiles et habillement</v>
          </cell>
        </row>
        <row r="367">
          <cell r="D367">
            <v>330</v>
          </cell>
          <cell r="E367" t="str">
            <v>Habillement, chaussures et accessoires de travail</v>
          </cell>
        </row>
        <row r="368">
          <cell r="D368">
            <v>331</v>
          </cell>
          <cell r="E368" t="str">
            <v>Autres fournitures textiles</v>
          </cell>
        </row>
        <row r="369">
          <cell r="D369">
            <v>339</v>
          </cell>
          <cell r="E369" t="str">
            <v>Autres fournitures textiles</v>
          </cell>
        </row>
        <row r="370">
          <cell r="D370">
            <v>39</v>
          </cell>
          <cell r="E370" t="str">
            <v>Autres biens de consommation et petit matériel</v>
          </cell>
        </row>
        <row r="371">
          <cell r="D371">
            <v>390</v>
          </cell>
          <cell r="E371" t="str">
            <v>Autres biens de consommation et petit matériel</v>
          </cell>
        </row>
        <row r="372">
          <cell r="D372">
            <v>399</v>
          </cell>
          <cell r="E372" t="str">
            <v>Dépenses de biens de consommation et petit matériel sur petite caisse à ventiler</v>
          </cell>
        </row>
        <row r="373">
          <cell r="D373">
            <v>4</v>
          </cell>
          <cell r="E373" t="str">
            <v xml:space="preserve">IMMOBILISATIONS CORPORELLES </v>
          </cell>
        </row>
        <row r="374">
          <cell r="D374">
            <v>40</v>
          </cell>
          <cell r="E374" t="str">
            <v>Mobilier, matériel et outillage</v>
          </cell>
        </row>
        <row r="375">
          <cell r="D375">
            <v>400</v>
          </cell>
          <cell r="E375" t="str">
            <v>Mobilier et matériel de bureau</v>
          </cell>
        </row>
        <row r="376">
          <cell r="D376">
            <v>4000</v>
          </cell>
          <cell r="E376" t="str">
            <v>Acquisition de mobilier et matériel de bureau</v>
          </cell>
        </row>
        <row r="377">
          <cell r="D377">
            <v>4001</v>
          </cell>
          <cell r="E377" t="str">
            <v>Grosses réparations de mobilier et matériel de bureau</v>
          </cell>
        </row>
        <row r="378">
          <cell r="D378">
            <v>401</v>
          </cell>
          <cell r="E378" t="str">
            <v xml:space="preserve">Matériel mécanographique, informatique et télématique </v>
          </cell>
        </row>
        <row r="379">
          <cell r="D379">
            <v>4010</v>
          </cell>
          <cell r="E379" t="str">
            <v>Acquisition de matériel mécanographique, informatique et télématique</v>
          </cell>
        </row>
        <row r="380">
          <cell r="D380">
            <v>4011</v>
          </cell>
          <cell r="E380" t="str">
            <v>Grosses réparations de matériel mécanographique, informatique et télématique</v>
          </cell>
        </row>
        <row r="381">
          <cell r="D381">
            <v>402</v>
          </cell>
          <cell r="E381" t="str">
            <v>Mobilier et matériel éducatifs, récréatifs, culturels et sportifs</v>
          </cell>
        </row>
        <row r="382">
          <cell r="D382">
            <v>4020</v>
          </cell>
          <cell r="E382" t="str">
            <v>Acquisition de mobilier et matériel éducatifs, récréatifs, culturels et sportifs</v>
          </cell>
        </row>
        <row r="383">
          <cell r="D383">
            <v>4021</v>
          </cell>
          <cell r="E383" t="str">
            <v>Grosses réparations de mobilier et matériel éducatifs, récréatifs, culturels et sportifs</v>
          </cell>
        </row>
        <row r="384">
          <cell r="D384">
            <v>403</v>
          </cell>
          <cell r="E384" t="str">
            <v>Mobilier et matériel sanitaire</v>
          </cell>
        </row>
        <row r="385">
          <cell r="D385">
            <v>4030</v>
          </cell>
          <cell r="E385" t="str">
            <v>Acquisition de mobilier et matériel sanitaire</v>
          </cell>
        </row>
        <row r="386">
          <cell r="D386">
            <v>4031</v>
          </cell>
          <cell r="E386" t="str">
            <v>Grosses réparations de mobilier et matériel sanitaire</v>
          </cell>
        </row>
        <row r="387">
          <cell r="D387">
            <v>404</v>
          </cell>
          <cell r="E387" t="str">
            <v>Mobilier et matériel médicaux, chirurgicaux et paramédicaux</v>
          </cell>
        </row>
        <row r="388">
          <cell r="D388">
            <v>4040</v>
          </cell>
          <cell r="E388" t="str">
            <v>Acquisition de mobilier et matériel médicaux, chirurgicaux et paramédicaux</v>
          </cell>
        </row>
        <row r="389">
          <cell r="D389">
            <v>4041</v>
          </cell>
          <cell r="E389" t="str">
            <v xml:space="preserve">Grosses réparations de mobilier et matériel médicaux, chirurgicaux et paramédicaux </v>
          </cell>
        </row>
        <row r="390">
          <cell r="D390">
            <v>405</v>
          </cell>
          <cell r="E390" t="str">
            <v>Mobilier et matériel électroménager</v>
          </cell>
        </row>
        <row r="391">
          <cell r="D391">
            <v>4050</v>
          </cell>
          <cell r="E391" t="str">
            <v>Acquisition de mobilier et matériel électroménager</v>
          </cell>
        </row>
        <row r="392">
          <cell r="D392">
            <v>4051</v>
          </cell>
          <cell r="E392" t="str">
            <v>Grosses réparations de mobilier et matériel électroménager</v>
          </cell>
        </row>
        <row r="393">
          <cell r="D393">
            <v>406</v>
          </cell>
          <cell r="E393" t="str">
            <v>Matériel et outillage technique, électrique et mécanique</v>
          </cell>
        </row>
        <row r="394">
          <cell r="D394">
            <v>4060</v>
          </cell>
          <cell r="E394" t="str">
            <v>Acquisition de matériel et outillage technique, électrique et mécanique</v>
          </cell>
        </row>
        <row r="395">
          <cell r="D395">
            <v>4061</v>
          </cell>
          <cell r="E395" t="str">
            <v>Grosses réparations de matériel et outillage technique, électrique et mécanique</v>
          </cell>
        </row>
        <row r="396">
          <cell r="D396">
            <v>407</v>
          </cell>
          <cell r="E396" t="str">
            <v>Matériel d'incendie, de police et de défense</v>
          </cell>
        </row>
        <row r="397">
          <cell r="D397">
            <v>4070</v>
          </cell>
          <cell r="E397" t="str">
            <v>Acquisition de matériel d'incendie, de police et de défense</v>
          </cell>
        </row>
        <row r="398">
          <cell r="D398">
            <v>4071</v>
          </cell>
          <cell r="E398" t="str">
            <v>Grosses réparations de matériel d'incendie, de police et de défense</v>
          </cell>
        </row>
        <row r="399">
          <cell r="D399">
            <v>408</v>
          </cell>
          <cell r="E399" t="str">
            <v>Matériel de télécommunications</v>
          </cell>
        </row>
        <row r="400">
          <cell r="D400">
            <v>4080</v>
          </cell>
          <cell r="E400" t="str">
            <v>Acquisition de matériel de télécommunications</v>
          </cell>
        </row>
        <row r="401">
          <cell r="D401">
            <v>4081</v>
          </cell>
          <cell r="E401" t="str">
            <v>Grosses réparations de matériel de télécommunications</v>
          </cell>
        </row>
        <row r="402">
          <cell r="D402">
            <v>409</v>
          </cell>
          <cell r="E402" t="str">
            <v>Autre mobilier, matériel et outillage</v>
          </cell>
        </row>
        <row r="403">
          <cell r="D403">
            <v>4090</v>
          </cell>
          <cell r="E403" t="str">
            <v>Acquisition d'autre mobilier, matériel et outillage</v>
          </cell>
        </row>
        <row r="404">
          <cell r="D404">
            <v>4091</v>
          </cell>
          <cell r="E404" t="str">
            <v>Grosses réparations d'autre mobilier, matériel et outillage</v>
          </cell>
        </row>
        <row r="405">
          <cell r="D405">
            <v>41</v>
          </cell>
          <cell r="E405" t="str">
            <v>Matériel de transport</v>
          </cell>
        </row>
        <row r="406">
          <cell r="D406">
            <v>410</v>
          </cell>
          <cell r="E406" t="str">
            <v>Matériel de transport terrestre</v>
          </cell>
        </row>
        <row r="407">
          <cell r="D407">
            <v>4100</v>
          </cell>
          <cell r="E407" t="str">
            <v>Acquisition de matériel de transport terrestre</v>
          </cell>
        </row>
        <row r="408">
          <cell r="D408">
            <v>4101</v>
          </cell>
          <cell r="E408" t="str">
            <v>Grosses réparations de matériel de transport terrestre</v>
          </cell>
        </row>
        <row r="409">
          <cell r="D409">
            <v>411</v>
          </cell>
          <cell r="E409" t="str">
            <v xml:space="preserve">Matériel de transport ferroviaire </v>
          </cell>
        </row>
        <row r="410">
          <cell r="D410">
            <v>4110</v>
          </cell>
          <cell r="E410" t="str">
            <v>Acquisition de matériel de transport ferroviaire</v>
          </cell>
        </row>
        <row r="411">
          <cell r="D411">
            <v>4111</v>
          </cell>
          <cell r="E411" t="str">
            <v>Grosses réparations de matériel de transport ferroviaire</v>
          </cell>
        </row>
        <row r="412">
          <cell r="D412">
            <v>412</v>
          </cell>
          <cell r="E412" t="str">
            <v>Matériel de transport fluvial et maritime</v>
          </cell>
        </row>
        <row r="413">
          <cell r="D413">
            <v>4120</v>
          </cell>
          <cell r="E413" t="str">
            <v>Acquisition de matériel de transport fluvial et maritime</v>
          </cell>
        </row>
        <row r="414">
          <cell r="D414">
            <v>4121</v>
          </cell>
          <cell r="E414" t="str">
            <v>Grosses réparations de matériel de transport fluvial et maritime</v>
          </cell>
        </row>
        <row r="415">
          <cell r="D415">
            <v>413</v>
          </cell>
          <cell r="E415" t="str">
            <v>Matériel de transport aérien</v>
          </cell>
        </row>
        <row r="416">
          <cell r="D416">
            <v>4130</v>
          </cell>
          <cell r="E416" t="str">
            <v>Acquisition de matériel de transport aérien</v>
          </cell>
        </row>
        <row r="417">
          <cell r="D417">
            <v>4131</v>
          </cell>
          <cell r="E417" t="str">
            <v>Grosses réparations de matériel de transport aérien</v>
          </cell>
        </row>
        <row r="418">
          <cell r="D418">
            <v>419</v>
          </cell>
          <cell r="E418" t="str">
            <v>Autre matériel de transport</v>
          </cell>
        </row>
        <row r="419">
          <cell r="D419">
            <v>4190</v>
          </cell>
          <cell r="E419" t="str">
            <v>Acquisition d'autre matériel de transport</v>
          </cell>
        </row>
        <row r="420">
          <cell r="D420">
            <v>4191</v>
          </cell>
          <cell r="E420" t="str">
            <v>Grosses réparations d'autre matériel de transport</v>
          </cell>
        </row>
        <row r="421">
          <cell r="D421">
            <v>42</v>
          </cell>
          <cell r="E421" t="str">
            <v>Collections, œuvres d'art</v>
          </cell>
        </row>
        <row r="422">
          <cell r="D422">
            <v>420</v>
          </cell>
          <cell r="E422" t="str">
            <v>Œuvres et objets d'art</v>
          </cell>
        </row>
        <row r="423">
          <cell r="D423">
            <v>4200</v>
          </cell>
          <cell r="E423" t="str">
            <v>Acquisition d'œuvres et objets d'art</v>
          </cell>
        </row>
        <row r="424">
          <cell r="D424">
            <v>4201</v>
          </cell>
          <cell r="E424" t="str">
            <v>Restauration d'œuvres et objets d'art</v>
          </cell>
        </row>
        <row r="425">
          <cell r="D425">
            <v>421</v>
          </cell>
          <cell r="E425" t="str">
            <v>Fonds des bibliothèques et des musées</v>
          </cell>
        </row>
        <row r="426">
          <cell r="D426">
            <v>4210</v>
          </cell>
          <cell r="E426" t="str">
            <v>Acquisition de fonds des bibliothèques et des musées</v>
          </cell>
        </row>
        <row r="427">
          <cell r="D427">
            <v>4211</v>
          </cell>
          <cell r="E427" t="str">
            <v>Restauration de fonds des bibliothèques et des musées</v>
          </cell>
        </row>
        <row r="428">
          <cell r="D428">
            <v>429</v>
          </cell>
          <cell r="E428" t="str">
            <v>Autres collections et œuvres d'art</v>
          </cell>
        </row>
        <row r="429">
          <cell r="D429">
            <v>4290</v>
          </cell>
          <cell r="E429" t="str">
            <v>Acquisition d'autres collections et œuvres d'art</v>
          </cell>
        </row>
        <row r="430">
          <cell r="D430">
            <v>4291</v>
          </cell>
          <cell r="E430" t="str">
            <v>Restauration d'autres collections et œuvres d'art</v>
          </cell>
        </row>
        <row r="431">
          <cell r="D431">
            <v>43</v>
          </cell>
          <cell r="E431" t="str">
            <v>Terrains</v>
          </cell>
        </row>
        <row r="432">
          <cell r="D432">
            <v>430</v>
          </cell>
          <cell r="E432" t="str">
            <v>Terrains à bâtir</v>
          </cell>
        </row>
        <row r="433">
          <cell r="D433">
            <v>4300</v>
          </cell>
          <cell r="E433" t="str">
            <v>Acquisition de terrains à bâtir</v>
          </cell>
        </row>
        <row r="434">
          <cell r="D434">
            <v>4301</v>
          </cell>
          <cell r="E434" t="str">
            <v>Travaux d'aménagement et d'amélioration de terrains à bâtir</v>
          </cell>
        </row>
        <row r="435">
          <cell r="D435">
            <v>431</v>
          </cell>
          <cell r="E435" t="str">
            <v>Terrains de voirie</v>
          </cell>
        </row>
        <row r="436">
          <cell r="D436">
            <v>4310</v>
          </cell>
          <cell r="E436" t="str">
            <v>Acquisition de terrains de voirie</v>
          </cell>
        </row>
        <row r="437">
          <cell r="D437">
            <v>4311</v>
          </cell>
          <cell r="E437" t="str">
            <v>Travaux d'aménagement et d'amélioration de terrains de voirie</v>
          </cell>
        </row>
        <row r="438">
          <cell r="D438">
            <v>432</v>
          </cell>
          <cell r="E438" t="str">
            <v>Jardins, espaces verts, places publiques</v>
          </cell>
        </row>
        <row r="439">
          <cell r="D439">
            <v>4320</v>
          </cell>
          <cell r="E439" t="str">
            <v>Acquisition de jardins, espaces verts, places publiques</v>
          </cell>
        </row>
        <row r="440">
          <cell r="D440">
            <v>4321</v>
          </cell>
          <cell r="E440" t="str">
            <v>Travaux d'aménagement et d'amélioration des jardins, espaces verts, places publiques</v>
          </cell>
        </row>
        <row r="441">
          <cell r="D441">
            <v>4322</v>
          </cell>
          <cell r="E441" t="str">
            <v>Constructions de jardins, espaces verts, places publiques</v>
          </cell>
        </row>
        <row r="442">
          <cell r="D442">
            <v>433</v>
          </cell>
          <cell r="E442" t="str">
            <v>Cimetières</v>
          </cell>
        </row>
        <row r="443">
          <cell r="D443">
            <v>4330</v>
          </cell>
          <cell r="E443" t="str">
            <v>Acquisition de cimetières</v>
          </cell>
        </row>
        <row r="444">
          <cell r="D444">
            <v>4331</v>
          </cell>
          <cell r="E444" t="str">
            <v>Travaux d'aménagement et d'amélioration des cimetières</v>
          </cell>
        </row>
        <row r="445">
          <cell r="D445">
            <v>4332</v>
          </cell>
          <cell r="E445" t="str">
            <v>Constructions de cimetières</v>
          </cell>
        </row>
        <row r="446">
          <cell r="D446">
            <v>434</v>
          </cell>
          <cell r="E446" t="str">
            <v>Carrières, mines</v>
          </cell>
        </row>
        <row r="447">
          <cell r="D447">
            <v>4340</v>
          </cell>
          <cell r="E447" t="str">
            <v>Acquisition de carrières, mines</v>
          </cell>
        </row>
        <row r="448">
          <cell r="D448">
            <v>4341</v>
          </cell>
          <cell r="E448" t="str">
            <v>Travaux d'aménagement et d'amélioration de carrières, mines</v>
          </cell>
        </row>
        <row r="449">
          <cell r="D449">
            <v>435</v>
          </cell>
          <cell r="E449" t="str">
            <v>Propriétés agricoles</v>
          </cell>
        </row>
        <row r="450">
          <cell r="D450">
            <v>4350</v>
          </cell>
          <cell r="E450" t="str">
            <v>Acquisition de propriétés agricoles</v>
          </cell>
        </row>
        <row r="451">
          <cell r="D451">
            <v>4351</v>
          </cell>
          <cell r="E451" t="str">
            <v>Travaux d'aménagement et d'amélioration de propriétés agricoles</v>
          </cell>
        </row>
        <row r="452">
          <cell r="D452">
            <v>439</v>
          </cell>
          <cell r="E452" t="str">
            <v>Terrains destinés à d'autres usages</v>
          </cell>
        </row>
        <row r="453">
          <cell r="D453">
            <v>4390</v>
          </cell>
          <cell r="E453" t="str">
            <v>Acquisition de terrains destinés à d'autres usages</v>
          </cell>
        </row>
        <row r="454">
          <cell r="D454">
            <v>4391</v>
          </cell>
          <cell r="E454" t="str">
            <v>Travaux d'aménagement et d'amélioration de terrains destinés à d'autres usages</v>
          </cell>
        </row>
        <row r="455">
          <cell r="D455">
            <v>4392</v>
          </cell>
          <cell r="E455" t="str">
            <v>Constructions de terrains destinés à d'autres usages</v>
          </cell>
        </row>
        <row r="456">
          <cell r="D456">
            <v>44</v>
          </cell>
          <cell r="E456" t="str">
            <v>Bois, forêts, plantations</v>
          </cell>
        </row>
        <row r="457">
          <cell r="D457">
            <v>440</v>
          </cell>
          <cell r="E457" t="str">
            <v>Bois et forêts</v>
          </cell>
        </row>
        <row r="458">
          <cell r="D458">
            <v>4400</v>
          </cell>
          <cell r="E458" t="str">
            <v>Acquisition de bois et forêts</v>
          </cell>
        </row>
        <row r="459">
          <cell r="D459">
            <v>4401</v>
          </cell>
          <cell r="E459" t="str">
            <v>Travaux d'amélioration de bois et forêts</v>
          </cell>
        </row>
        <row r="460">
          <cell r="D460">
            <v>4402</v>
          </cell>
          <cell r="E460" t="str">
            <v>Boisement de terrains nus</v>
          </cell>
        </row>
        <row r="461">
          <cell r="D461">
            <v>441</v>
          </cell>
          <cell r="E461" t="str">
            <v>Plantations</v>
          </cell>
        </row>
        <row r="462">
          <cell r="D462">
            <v>4410</v>
          </cell>
          <cell r="E462" t="str">
            <v>Acquisition de plantations</v>
          </cell>
        </row>
        <row r="463">
          <cell r="D463">
            <v>4411</v>
          </cell>
          <cell r="E463" t="str">
            <v>Travaux d'amélioration de plantations</v>
          </cell>
        </row>
        <row r="464">
          <cell r="D464">
            <v>4412</v>
          </cell>
          <cell r="E464" t="str">
            <v>Plantation de terrains nus</v>
          </cell>
        </row>
        <row r="465">
          <cell r="D465">
            <v>45</v>
          </cell>
          <cell r="E465" t="str">
            <v>Littoral, étangs et lacs</v>
          </cell>
        </row>
        <row r="466">
          <cell r="D466">
            <v>450</v>
          </cell>
          <cell r="E466" t="str">
            <v>Littoral</v>
          </cell>
        </row>
        <row r="467">
          <cell r="D467">
            <v>4501</v>
          </cell>
          <cell r="E467" t="str">
            <v>Travaux d'aménagement et d'amélioration du littoral</v>
          </cell>
        </row>
        <row r="468">
          <cell r="D468">
            <v>451</v>
          </cell>
          <cell r="E468" t="str">
            <v>Etangs et lacs</v>
          </cell>
        </row>
        <row r="469">
          <cell r="D469">
            <v>4510</v>
          </cell>
          <cell r="E469" t="str">
            <v>Acquisition d'étangs et lacs</v>
          </cell>
        </row>
        <row r="470">
          <cell r="D470">
            <v>4511</v>
          </cell>
          <cell r="E470" t="str">
            <v>Travaux d'aménagement et d'amélioration d'étangs et lacs</v>
          </cell>
        </row>
        <row r="471">
          <cell r="D471">
            <v>4512</v>
          </cell>
          <cell r="E471" t="str">
            <v>Construction d'étangs et lacs</v>
          </cell>
        </row>
        <row r="472">
          <cell r="D472">
            <v>46</v>
          </cell>
          <cell r="E472" t="str">
            <v>Bâtiments</v>
          </cell>
        </row>
        <row r="473">
          <cell r="D473">
            <v>460</v>
          </cell>
          <cell r="E473" t="str">
            <v>Bâtiments administratifs</v>
          </cell>
        </row>
        <row r="474">
          <cell r="D474">
            <v>4600</v>
          </cell>
          <cell r="E474" t="str">
            <v>Acquisition de bâtiments administratifs</v>
          </cell>
        </row>
        <row r="475">
          <cell r="D475">
            <v>4601</v>
          </cell>
          <cell r="E475" t="str">
            <v>Travaux d'amélioration de bâtiments administratifs</v>
          </cell>
        </row>
        <row r="476">
          <cell r="D476">
            <v>4602</v>
          </cell>
          <cell r="E476" t="str">
            <v>Construction de bâtiments administratifs</v>
          </cell>
        </row>
        <row r="477">
          <cell r="D477">
            <v>461</v>
          </cell>
          <cell r="E477" t="str">
            <v>Bâtiments scolaires, universitaires, culturels et sportifs</v>
          </cell>
        </row>
        <row r="478">
          <cell r="D478">
            <v>4610</v>
          </cell>
          <cell r="E478" t="str">
            <v>Acquisition de bâtiments scolaires, universitaires, culturels et sportifs</v>
          </cell>
        </row>
        <row r="479">
          <cell r="D479">
            <v>4611</v>
          </cell>
          <cell r="E479" t="str">
            <v>Travaux d'amélioration de bâtiments scolaires, universitaires, culturels et sportifs</v>
          </cell>
        </row>
        <row r="480">
          <cell r="D480">
            <v>4612</v>
          </cell>
          <cell r="E480" t="str">
            <v>Construction de bâtiments scolaires, universitaires, culturels et sportifs</v>
          </cell>
        </row>
        <row r="481">
          <cell r="D481">
            <v>462</v>
          </cell>
          <cell r="E481" t="str">
            <v>Logements sociaux</v>
          </cell>
        </row>
        <row r="482">
          <cell r="D482">
            <v>4620</v>
          </cell>
          <cell r="E482" t="str">
            <v>Acquisition de logements sociaux</v>
          </cell>
        </row>
        <row r="483">
          <cell r="D483">
            <v>4621</v>
          </cell>
          <cell r="E483" t="str">
            <v>Travaux d'amélioration de logements sociaux</v>
          </cell>
        </row>
        <row r="484">
          <cell r="D484">
            <v>4622</v>
          </cell>
          <cell r="E484" t="str">
            <v>Construction de logements sociaux</v>
          </cell>
        </row>
        <row r="485">
          <cell r="D485">
            <v>463</v>
          </cell>
          <cell r="E485" t="str">
            <v>Résidences de fonction</v>
          </cell>
        </row>
        <row r="486">
          <cell r="D486">
            <v>4630</v>
          </cell>
          <cell r="E486" t="str">
            <v>Acquisition de résidences de fonction</v>
          </cell>
        </row>
        <row r="487">
          <cell r="D487">
            <v>4631</v>
          </cell>
          <cell r="E487" t="str">
            <v>Travaux d'amélioration de résidences de fonction</v>
          </cell>
        </row>
        <row r="488">
          <cell r="D488">
            <v>4632</v>
          </cell>
          <cell r="E488" t="str">
            <v>Construction de résidences de fonction</v>
          </cell>
        </row>
        <row r="489">
          <cell r="D489">
            <v>464</v>
          </cell>
          <cell r="E489" t="str">
            <v>Halles et marchés</v>
          </cell>
        </row>
        <row r="490">
          <cell r="D490">
            <v>4640</v>
          </cell>
          <cell r="E490" t="str">
            <v>Acquisition de halles et marchés</v>
          </cell>
        </row>
        <row r="491">
          <cell r="D491">
            <v>4641</v>
          </cell>
          <cell r="E491" t="str">
            <v xml:space="preserve">Travaux d'amélioration de halles et marchés </v>
          </cell>
        </row>
        <row r="492">
          <cell r="D492">
            <v>4642</v>
          </cell>
          <cell r="E492" t="str">
            <v>Construction de halles et marchés</v>
          </cell>
        </row>
        <row r="493">
          <cell r="D493">
            <v>469</v>
          </cell>
          <cell r="E493" t="str">
            <v>Autres bâtiments</v>
          </cell>
        </row>
        <row r="494">
          <cell r="D494">
            <v>4690</v>
          </cell>
          <cell r="E494" t="str">
            <v>Acquisition d'autres bâtiments</v>
          </cell>
        </row>
        <row r="495">
          <cell r="D495">
            <v>4691</v>
          </cell>
          <cell r="E495" t="str">
            <v xml:space="preserve">Travaux d'amélioration d'autres bâtiments </v>
          </cell>
        </row>
        <row r="496">
          <cell r="D496">
            <v>4692</v>
          </cell>
          <cell r="E496" t="str">
            <v>Construction d'autres bâtiments</v>
          </cell>
        </row>
        <row r="497">
          <cell r="D497">
            <v>47</v>
          </cell>
          <cell r="E497" t="str">
            <v>Voies, réseaux et ouvrages</v>
          </cell>
        </row>
        <row r="498">
          <cell r="D498">
            <v>470</v>
          </cell>
          <cell r="E498" t="str">
            <v>Routes, ponts, ports et aéroports</v>
          </cell>
        </row>
        <row r="499">
          <cell r="D499">
            <v>4700</v>
          </cell>
          <cell r="E499" t="str">
            <v>Acquisition de routes, ponts, ports et aéroports</v>
          </cell>
        </row>
        <row r="500">
          <cell r="D500">
            <v>4701</v>
          </cell>
          <cell r="E500" t="str">
            <v>Travaux d'amélioration de routes, ponts, ports et aéroports</v>
          </cell>
        </row>
        <row r="501">
          <cell r="D501">
            <v>4702</v>
          </cell>
          <cell r="E501" t="str">
            <v>Construction de routes, ponts, ports et aéroports</v>
          </cell>
        </row>
        <row r="502">
          <cell r="D502">
            <v>471</v>
          </cell>
          <cell r="E502" t="str">
            <v>Réseaux et ouvrages hydrauliques</v>
          </cell>
        </row>
        <row r="503">
          <cell r="D503">
            <v>4710</v>
          </cell>
          <cell r="E503" t="str">
            <v>Acquisition de réseaux et ouvrages hydrauliques</v>
          </cell>
        </row>
        <row r="504">
          <cell r="D504">
            <v>4711</v>
          </cell>
          <cell r="E504" t="str">
            <v>Travaux d'amélioration de réseaux et ouvrages hydrauliques</v>
          </cell>
        </row>
        <row r="505">
          <cell r="D505">
            <v>4712</v>
          </cell>
          <cell r="E505" t="str">
            <v>Construction de réseaux et ouvrages hydrauliques</v>
          </cell>
        </row>
        <row r="506">
          <cell r="D506">
            <v>472</v>
          </cell>
          <cell r="E506" t="str">
            <v>Réseaux et ouvrages d'électrification</v>
          </cell>
        </row>
        <row r="507">
          <cell r="D507">
            <v>4720</v>
          </cell>
          <cell r="E507" t="str">
            <v>Acquisition de réseaux et ouvrages d'électrification</v>
          </cell>
        </row>
        <row r="508">
          <cell r="D508">
            <v>4721</v>
          </cell>
          <cell r="E508" t="str">
            <v>Travaux d'amélioration de réseaux et ouvrages d'électrification</v>
          </cell>
        </row>
        <row r="509">
          <cell r="D509">
            <v>4722</v>
          </cell>
          <cell r="E509" t="str">
            <v>Construction de réseaux et ouvrages  d'électrification</v>
          </cell>
        </row>
        <row r="510">
          <cell r="D510">
            <v>473</v>
          </cell>
          <cell r="E510" t="str">
            <v>Réseaux et ouvrages de télécommunications</v>
          </cell>
        </row>
        <row r="511">
          <cell r="D511">
            <v>4730</v>
          </cell>
          <cell r="E511" t="str">
            <v>Acquisition de réseaux et ouvrages de télécommunications</v>
          </cell>
        </row>
        <row r="512">
          <cell r="D512">
            <v>4731</v>
          </cell>
          <cell r="E512" t="str">
            <v xml:space="preserve">Travaux d'amélioration de réseaux et ouvrages de télécommunications </v>
          </cell>
        </row>
        <row r="513">
          <cell r="D513">
            <v>4732</v>
          </cell>
          <cell r="E513" t="str">
            <v>Construction de réseaux et ouvrages de télécommunications</v>
          </cell>
        </row>
        <row r="514">
          <cell r="D514">
            <v>479</v>
          </cell>
          <cell r="E514" t="str">
            <v>Autres voies, réseaux et ouvrages</v>
          </cell>
        </row>
        <row r="515">
          <cell r="D515">
            <v>4790</v>
          </cell>
          <cell r="E515" t="str">
            <v>Acquisition d'autres voies, réseaux et ouvrages</v>
          </cell>
        </row>
        <row r="516">
          <cell r="D516">
            <v>4791</v>
          </cell>
          <cell r="E516" t="str">
            <v>Travaux d'amélioration d'autres voies, réseaux et ouvrages</v>
          </cell>
        </row>
        <row r="517">
          <cell r="D517">
            <v>4792</v>
          </cell>
          <cell r="E517" t="str">
            <v>Construction d'autres voies, réseaux et ouvrages</v>
          </cell>
        </row>
        <row r="518">
          <cell r="D518">
            <v>49</v>
          </cell>
          <cell r="E518" t="str">
            <v>Autres immobilisations corporelles</v>
          </cell>
        </row>
        <row r="519">
          <cell r="D519">
            <v>490</v>
          </cell>
          <cell r="E519" t="str">
            <v>Animaux vivants</v>
          </cell>
        </row>
        <row r="520">
          <cell r="D520">
            <v>4900</v>
          </cell>
          <cell r="E520" t="str">
            <v>Acquisition d'animaux vivants</v>
          </cell>
        </row>
        <row r="521">
          <cell r="D521">
            <v>499</v>
          </cell>
          <cell r="E521" t="str">
            <v>Autres biens corporels</v>
          </cell>
        </row>
        <row r="522">
          <cell r="D522">
            <v>4990</v>
          </cell>
          <cell r="E522" t="str">
            <v>Acquisition d'autres biens corporels</v>
          </cell>
        </row>
        <row r="523">
          <cell r="D523">
            <v>4991</v>
          </cell>
          <cell r="E523" t="str">
            <v>Travaux d'amélioration d'autres biens corporels</v>
          </cell>
        </row>
        <row r="524">
          <cell r="D524">
            <v>4992</v>
          </cell>
          <cell r="E524" t="str">
            <v>Construction d'autres biens corporels</v>
          </cell>
        </row>
        <row r="525">
          <cell r="D525">
            <v>5</v>
          </cell>
          <cell r="E525" t="str">
            <v>IMMOBILISATIONS INCORPORELLES</v>
          </cell>
        </row>
        <row r="526">
          <cell r="D526">
            <v>50</v>
          </cell>
          <cell r="E526" t="str">
            <v>Immobilisations incorporelles</v>
          </cell>
        </row>
        <row r="527">
          <cell r="D527">
            <v>500</v>
          </cell>
          <cell r="E527" t="str">
            <v>Frais de recherche et de développement</v>
          </cell>
        </row>
        <row r="528">
          <cell r="D528">
            <v>501</v>
          </cell>
          <cell r="E528" t="str">
            <v>Concessions, brevets, licences, marques, procédés, droits et valeurs similaires</v>
          </cell>
        </row>
        <row r="529">
          <cell r="D529">
            <v>502</v>
          </cell>
          <cell r="E529" t="str">
            <v>Acquisition de logiciels</v>
          </cell>
        </row>
        <row r="530">
          <cell r="D530">
            <v>59</v>
          </cell>
          <cell r="E530" t="str">
            <v>Autres immobilisations incorporelles</v>
          </cell>
        </row>
        <row r="531">
          <cell r="D531">
            <v>590</v>
          </cell>
          <cell r="E531" t="str">
            <v>Acquisition de diverses immobilisations incorporelles</v>
          </cell>
        </row>
        <row r="532">
          <cell r="D532">
            <v>6</v>
          </cell>
          <cell r="E532" t="str">
            <v>PRETS, AVANCES, PRISES DE PARTICIPATION ET PLACEMENTS</v>
          </cell>
        </row>
        <row r="533">
          <cell r="D533">
            <v>60</v>
          </cell>
          <cell r="E533" t="str">
            <v>Prêts et avances</v>
          </cell>
        </row>
        <row r="534">
          <cell r="D534">
            <v>600</v>
          </cell>
          <cell r="E534" t="str">
            <v xml:space="preserve">Prêts et avances aux comptes spéciaux du Trésor et aux budgets annexes </v>
          </cell>
        </row>
        <row r="535">
          <cell r="D535">
            <v>601</v>
          </cell>
          <cell r="E535" t="str">
            <v xml:space="preserve">Prêts et avances aux collectivités territoriales </v>
          </cell>
        </row>
        <row r="536">
          <cell r="D536">
            <v>602</v>
          </cell>
          <cell r="E536" t="str">
            <v>Prêts et avances à des organismes autonomes à caractère administratif, culturel ou scientifique</v>
          </cell>
        </row>
        <row r="537">
          <cell r="D537">
            <v>603</v>
          </cell>
          <cell r="E537" t="str">
            <v>Prêts et avances aux entreprises publiques et entreprises mixtes</v>
          </cell>
        </row>
        <row r="538">
          <cell r="D538">
            <v>604</v>
          </cell>
          <cell r="E538" t="str">
            <v>Prêts et avances à des institutions financières publiques</v>
          </cell>
        </row>
        <row r="539">
          <cell r="D539">
            <v>605</v>
          </cell>
          <cell r="E539" t="str">
            <v>Prêts et avances à des institutions financières privées</v>
          </cell>
        </row>
        <row r="540">
          <cell r="D540">
            <v>606</v>
          </cell>
          <cell r="E540" t="str">
            <v>Prêts à des entreprises industrielles et commerciales</v>
          </cell>
        </row>
        <row r="541">
          <cell r="D541">
            <v>607</v>
          </cell>
          <cell r="E541" t="str">
            <v>Prêts et avances à l'extérieur</v>
          </cell>
        </row>
        <row r="542">
          <cell r="D542">
            <v>6070</v>
          </cell>
          <cell r="E542" t="str">
            <v>Prêts et avances à des institutions financières internationale</v>
          </cell>
        </row>
        <row r="543">
          <cell r="D543">
            <v>6079</v>
          </cell>
          <cell r="E543" t="str">
            <v>Prêts et avances divers à l'extérieur</v>
          </cell>
        </row>
        <row r="544">
          <cell r="D544">
            <v>609</v>
          </cell>
          <cell r="E544" t="str">
            <v>Autres prêts et avances</v>
          </cell>
        </row>
        <row r="545">
          <cell r="D545">
            <v>61</v>
          </cell>
          <cell r="E545" t="str">
            <v>Prises de participation</v>
          </cell>
        </row>
        <row r="546">
          <cell r="D546">
            <v>613</v>
          </cell>
          <cell r="E546" t="str">
            <v>Prises de participation dans des entreprises publiques et entreprises mixtes</v>
          </cell>
        </row>
        <row r="547">
          <cell r="D547">
            <v>614</v>
          </cell>
          <cell r="E547" t="str">
            <v>Prises de participation dans des institutions financières publiques</v>
          </cell>
        </row>
        <row r="548">
          <cell r="D548">
            <v>615</v>
          </cell>
          <cell r="E548" t="str">
            <v>Prises de participation dans des institutions financières privées</v>
          </cell>
        </row>
        <row r="549">
          <cell r="D549">
            <v>616</v>
          </cell>
          <cell r="E549" t="str">
            <v>Prises de participation dans des entreprises industrielles et commerciales</v>
          </cell>
        </row>
        <row r="550">
          <cell r="D550">
            <v>617</v>
          </cell>
          <cell r="E550" t="str">
            <v>Prises de participation à l'extérieur</v>
          </cell>
        </row>
        <row r="551">
          <cell r="D551">
            <v>6170</v>
          </cell>
          <cell r="E551" t="str">
            <v>Prises de participation dans des organisations internationales</v>
          </cell>
        </row>
        <row r="552">
          <cell r="D552">
            <v>6179</v>
          </cell>
          <cell r="E552" t="str">
            <v>Prises de participation diverses à l'extérieur</v>
          </cell>
        </row>
        <row r="553">
          <cell r="D553">
            <v>619</v>
          </cell>
          <cell r="E553" t="str">
            <v>Autres prises de participation</v>
          </cell>
        </row>
        <row r="554">
          <cell r="D554">
            <v>62</v>
          </cell>
          <cell r="E554" t="str">
            <v>Placements</v>
          </cell>
        </row>
        <row r="555">
          <cell r="D555">
            <v>620</v>
          </cell>
          <cell r="E555" t="str">
            <v>Placements intérieurs</v>
          </cell>
        </row>
        <row r="556">
          <cell r="D556">
            <v>621</v>
          </cell>
          <cell r="E556" t="str">
            <v>Placements à l'étranger</v>
          </cell>
        </row>
        <row r="557">
          <cell r="D557">
            <v>7</v>
          </cell>
          <cell r="E557" t="str">
            <v>SUBVENTIONS, QUOTES - PARTS ET CONTRIBUTIONS, ALLOCATIONS, INDEMNISATIONS</v>
          </cell>
        </row>
        <row r="558">
          <cell r="D558">
            <v>70</v>
          </cell>
          <cell r="E558" t="str">
            <v>Subventions d'exploitation</v>
          </cell>
        </row>
        <row r="559">
          <cell r="D559">
            <v>700</v>
          </cell>
          <cell r="E559" t="str">
            <v>Subventions d'exploitation aux comptes spéciaux du Trésor et budgets annexes</v>
          </cell>
        </row>
        <row r="560">
          <cell r="D560">
            <v>701</v>
          </cell>
          <cell r="E560" t="str">
            <v>Subventions d'exploitation aux collectivités territoriales</v>
          </cell>
        </row>
        <row r="561">
          <cell r="D561">
            <v>702</v>
          </cell>
          <cell r="E561" t="str">
            <v>Subventions d'exploitation aux organismes autonomes à caractère administratif,culturel ou scientifique</v>
          </cell>
        </row>
        <row r="562">
          <cell r="D562">
            <v>703</v>
          </cell>
          <cell r="E562" t="str">
            <v>Subventions d'exploitation aux entreprises publiques et entreprises mixtes</v>
          </cell>
        </row>
        <row r="563">
          <cell r="D563">
            <v>704</v>
          </cell>
          <cell r="E563" t="str">
            <v>Subventions d'exploitation aux entreprises financières publiques</v>
          </cell>
        </row>
        <row r="564">
          <cell r="D564">
            <v>705</v>
          </cell>
          <cell r="E564" t="str">
            <v>Subventions d'exploitation aux entreprises financières privées</v>
          </cell>
        </row>
        <row r="565">
          <cell r="D565">
            <v>706</v>
          </cell>
          <cell r="E565" t="str">
            <v>Subventions d'exploitation aux entreprises industrielles et commerciales</v>
          </cell>
        </row>
        <row r="566">
          <cell r="D566">
            <v>707</v>
          </cell>
          <cell r="E566" t="str">
            <v>Subventions d'exploitation aux institutions privées à but non lucratif</v>
          </cell>
        </row>
        <row r="567">
          <cell r="D567">
            <v>709</v>
          </cell>
          <cell r="E567" t="str">
            <v>Subventions d'exploitation à d'autres bénéficiaires</v>
          </cell>
        </row>
        <row r="568">
          <cell r="D568">
            <v>71</v>
          </cell>
          <cell r="E568" t="str">
            <v>Subventions en capital</v>
          </cell>
        </row>
        <row r="569">
          <cell r="D569">
            <v>710</v>
          </cell>
          <cell r="E569" t="str">
            <v>Subventions en capital aux comptes spéciaux du Trésor et budgets annexes</v>
          </cell>
        </row>
        <row r="570">
          <cell r="D570">
            <v>711</v>
          </cell>
          <cell r="E570" t="str">
            <v>Subventions en capital aux collectivités territoriales</v>
          </cell>
        </row>
        <row r="571">
          <cell r="D571">
            <v>712</v>
          </cell>
          <cell r="E571" t="str">
            <v>Subventions en capital aux organismes autonomes à caractère administratif, culturel ou scientifique</v>
          </cell>
        </row>
        <row r="572">
          <cell r="D572">
            <v>713</v>
          </cell>
          <cell r="E572" t="str">
            <v>Subventions en capital aux entreprises publiques et entreprises mixtes</v>
          </cell>
        </row>
        <row r="573">
          <cell r="D573">
            <v>714</v>
          </cell>
          <cell r="E573" t="str">
            <v>Subventions en capital aux entreprises financières publiques</v>
          </cell>
        </row>
        <row r="574">
          <cell r="D574">
            <v>715</v>
          </cell>
          <cell r="E574" t="str">
            <v>Subventions en capital aux entreprises financières privées</v>
          </cell>
        </row>
        <row r="575">
          <cell r="D575">
            <v>716</v>
          </cell>
          <cell r="E575" t="str">
            <v>Subventions en capital aux entreprises industrielles et commerciales</v>
          </cell>
        </row>
        <row r="576">
          <cell r="D576">
            <v>717</v>
          </cell>
          <cell r="E576" t="str">
            <v xml:space="preserve">Subventions en capital aux institutions privées à but non lucratif </v>
          </cell>
        </row>
        <row r="577">
          <cell r="D577">
            <v>719</v>
          </cell>
          <cell r="E577" t="str">
            <v>Subventions en capital à d'autres bénéficiaires</v>
          </cell>
        </row>
        <row r="578">
          <cell r="D578">
            <v>72</v>
          </cell>
          <cell r="E578" t="str">
            <v>Quotes - parts et contributions</v>
          </cell>
        </row>
        <row r="579">
          <cell r="D579">
            <v>720</v>
          </cell>
          <cell r="E579" t="str">
            <v xml:space="preserve">Quotes - parts et contributions aux institutions nationales </v>
          </cell>
        </row>
        <row r="580">
          <cell r="D580">
            <v>721</v>
          </cell>
          <cell r="E580" t="str">
            <v>Quotes - parts et contributions aux institutions étrangères et internationales</v>
          </cell>
        </row>
        <row r="581">
          <cell r="D581">
            <v>729</v>
          </cell>
          <cell r="E581" t="str">
            <v>Autres quotes-parts et contributions</v>
          </cell>
        </row>
        <row r="582">
          <cell r="D582">
            <v>73</v>
          </cell>
          <cell r="E582" t="str">
            <v>Allocations</v>
          </cell>
        </row>
        <row r="583">
          <cell r="D583">
            <v>730</v>
          </cell>
          <cell r="E583" t="str">
            <v>Allocations d'assistance sociale et de secours</v>
          </cell>
        </row>
        <row r="584">
          <cell r="D584">
            <v>731</v>
          </cell>
          <cell r="E584" t="str">
            <v>Allocations aux élèves et étudiants</v>
          </cell>
        </row>
        <row r="585">
          <cell r="D585">
            <v>739</v>
          </cell>
          <cell r="E585" t="str">
            <v>Allocations diverses et exceptionnelles</v>
          </cell>
        </row>
        <row r="586">
          <cell r="D586">
            <v>74</v>
          </cell>
          <cell r="E586" t="str">
            <v>Indemnisations pour dommages et préjudices</v>
          </cell>
        </row>
        <row r="587">
          <cell r="D587">
            <v>740</v>
          </cell>
          <cell r="E587" t="str">
            <v>Indemnisation de préjudices causés par l'Etat</v>
          </cell>
        </row>
        <row r="588">
          <cell r="D588">
            <v>741</v>
          </cell>
          <cell r="E588" t="str">
            <v>Indemnisation de préjudices subis du fait des fonctions</v>
          </cell>
        </row>
        <row r="589">
          <cell r="D589">
            <v>742</v>
          </cell>
          <cell r="E589" t="str">
            <v>Indemnisation des dommages résultant d'un cataclysme ou cyclone</v>
          </cell>
        </row>
        <row r="590">
          <cell r="D590">
            <v>749</v>
          </cell>
          <cell r="E590" t="str">
            <v>Autres indemnisations</v>
          </cell>
        </row>
        <row r="591">
          <cell r="D591">
            <v>8</v>
          </cell>
          <cell r="E591" t="str">
            <v>AMORTISSEMENT DE LA DETTE PUBLIQUE</v>
          </cell>
        </row>
        <row r="592">
          <cell r="D592">
            <v>80</v>
          </cell>
          <cell r="E592" t="str">
            <v>Dette publique interne</v>
          </cell>
        </row>
        <row r="593">
          <cell r="D593">
            <v>800</v>
          </cell>
          <cell r="E593" t="str">
            <v>Amortissement de la dette envers la Banque centrale</v>
          </cell>
        </row>
        <row r="594">
          <cell r="D594">
            <v>801</v>
          </cell>
          <cell r="E594" t="str">
            <v>Amortissement de la dette envers les autres institutions financières</v>
          </cell>
        </row>
        <row r="595">
          <cell r="D595">
            <v>802</v>
          </cell>
          <cell r="E595" t="str">
            <v>Remboursements aux souscripteurs de Bons du Trésor</v>
          </cell>
        </row>
        <row r="596">
          <cell r="D596">
            <v>8020</v>
          </cell>
          <cell r="E596" t="str">
            <v>Emissions en cours</v>
          </cell>
        </row>
        <row r="597">
          <cell r="D597">
            <v>8021</v>
          </cell>
          <cell r="E597" t="str">
            <v>Emissions expirées</v>
          </cell>
        </row>
        <row r="598">
          <cell r="D598">
            <v>803</v>
          </cell>
          <cell r="E598" t="str">
            <v>Remboursements aux souscripteurs d'autres obligations</v>
          </cell>
        </row>
        <row r="599">
          <cell r="D599">
            <v>809</v>
          </cell>
          <cell r="E599" t="str">
            <v>Amortissement d'autres dettes internes</v>
          </cell>
        </row>
        <row r="600">
          <cell r="D600">
            <v>81</v>
          </cell>
          <cell r="E600" t="str">
            <v>Dette publique externe</v>
          </cell>
        </row>
        <row r="601">
          <cell r="D601">
            <v>810</v>
          </cell>
          <cell r="E601" t="str">
            <v>Amortissement de la dette bilatérale</v>
          </cell>
        </row>
        <row r="602">
          <cell r="D602">
            <v>811</v>
          </cell>
          <cell r="E602" t="str">
            <v>Amortissement de la dette multilatérale</v>
          </cell>
        </row>
        <row r="603">
          <cell r="D603">
            <v>812</v>
          </cell>
          <cell r="E603" t="str">
            <v>Amortissement de la dette envers des institutions financières privées</v>
          </cell>
        </row>
        <row r="604">
          <cell r="D604">
            <v>819</v>
          </cell>
          <cell r="E604" t="str">
            <v>Amortissement d'autres dettes externes</v>
          </cell>
        </row>
        <row r="605">
          <cell r="D605">
            <v>82</v>
          </cell>
          <cell r="E605" t="str">
            <v>Dette résultant de mise en jeu de garanties</v>
          </cell>
        </row>
        <row r="606">
          <cell r="D606">
            <v>820</v>
          </cell>
          <cell r="E606" t="str">
            <v>Amortissement résultant de mise en jeu de garanties</v>
          </cell>
        </row>
        <row r="607">
          <cell r="D607">
            <v>9</v>
          </cell>
          <cell r="E607" t="str">
            <v>AUTRES DEPENSES PUBLIQUES</v>
          </cell>
        </row>
        <row r="608">
          <cell r="D608">
            <v>90</v>
          </cell>
          <cell r="E608" t="str">
            <v>Service d'intelligence et de police</v>
          </cell>
        </row>
        <row r="609">
          <cell r="D609">
            <v>900</v>
          </cell>
          <cell r="E609" t="str">
            <v>Dépenses d'intelligence et de police</v>
          </cell>
        </row>
        <row r="610">
          <cell r="D610">
            <v>91</v>
          </cell>
          <cell r="E610" t="str">
            <v>Autres dépenses non ventilées par nature</v>
          </cell>
        </row>
        <row r="611">
          <cell r="D611">
            <v>910</v>
          </cell>
          <cell r="E611" t="str">
            <v>Dépenses de projets et programmes non ventilées par nature</v>
          </cell>
        </row>
        <row r="612">
          <cell r="D612">
            <v>919</v>
          </cell>
          <cell r="E612" t="str">
            <v>Autres dépenses ordinaires non ventilées par nature</v>
          </cell>
        </row>
        <row r="613">
          <cell r="D613">
            <v>92</v>
          </cell>
          <cell r="E613" t="str">
            <v>Dette viagère</v>
          </cell>
        </row>
        <row r="614">
          <cell r="D614">
            <v>920</v>
          </cell>
          <cell r="E614" t="str">
            <v>Pensions de retraite civile</v>
          </cell>
        </row>
        <row r="615">
          <cell r="D615">
            <v>921</v>
          </cell>
          <cell r="E615" t="str">
            <v>Pensions de retraite militaire</v>
          </cell>
        </row>
        <row r="616">
          <cell r="D616">
            <v>93</v>
          </cell>
          <cell r="E616" t="str">
            <v>Dépenses stratégiques</v>
          </cell>
        </row>
        <row r="617">
          <cell r="D617">
            <v>930</v>
          </cell>
          <cell r="E617" t="str">
            <v>Stocks stratégiques</v>
          </cell>
        </row>
        <row r="618">
          <cell r="D618">
            <v>939</v>
          </cell>
          <cell r="E618" t="str">
            <v>Autres dépenses stratégiques</v>
          </cell>
        </row>
        <row r="619">
          <cell r="D619">
            <v>94</v>
          </cell>
          <cell r="E619" t="str">
            <v>Dépenses exceptionnelles</v>
          </cell>
        </row>
        <row r="620">
          <cell r="D620">
            <v>940</v>
          </cell>
          <cell r="E620" t="str">
            <v>Restitutions de produits encaissés au cours d'années antérieures</v>
          </cell>
        </row>
        <row r="621">
          <cell r="D621">
            <v>949</v>
          </cell>
          <cell r="E621" t="str">
            <v>Autres dépenses exceptionnelles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data"/>
      <sheetName val="Classe"/>
    </sheetNames>
    <sheetDataSet>
      <sheetData sheetId="0" refreshError="1">
        <row r="1">
          <cell r="A1" t="str">
            <v>Section</v>
          </cell>
        </row>
      </sheetData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vision_dette_publique"/>
      <sheetName val="IP-MENSUEL"/>
      <sheetName val="mensuel_section_alinea"/>
      <sheetName val="mensuel_section_article1"/>
      <sheetName val="section_article"/>
      <sheetName val="mensuel_credit_section_titre"/>
      <sheetName val="section_titre"/>
      <sheetName val="credit_section_titre (inv)"/>
      <sheetName val="credit_section_titre _rapport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C10">
            <v>1111111</v>
          </cell>
          <cell r="D10">
            <v>1</v>
          </cell>
          <cell r="H10">
            <v>25038402.399999999</v>
          </cell>
        </row>
        <row r="11">
          <cell r="C11">
            <v>1111111</v>
          </cell>
          <cell r="D11">
            <v>2</v>
          </cell>
          <cell r="H11">
            <v>27387867.039999999</v>
          </cell>
        </row>
        <row r="12">
          <cell r="C12">
            <v>1111111</v>
          </cell>
          <cell r="D12">
            <v>3</v>
          </cell>
          <cell r="H12">
            <v>8780073.0799999982</v>
          </cell>
        </row>
        <row r="13">
          <cell r="C13">
            <v>1111111</v>
          </cell>
          <cell r="D13">
            <v>4</v>
          </cell>
          <cell r="H13">
            <v>2499999.96</v>
          </cell>
        </row>
        <row r="14">
          <cell r="C14">
            <v>1111111</v>
          </cell>
          <cell r="D14">
            <v>5</v>
          </cell>
          <cell r="H14">
            <v>0</v>
          </cell>
        </row>
        <row r="15">
          <cell r="C15">
            <v>1111111</v>
          </cell>
          <cell r="D15">
            <v>7</v>
          </cell>
          <cell r="H15">
            <v>1099299.8799999999</v>
          </cell>
        </row>
        <row r="16">
          <cell r="C16">
            <v>1111111</v>
          </cell>
          <cell r="D16">
            <v>9</v>
          </cell>
          <cell r="H16">
            <v>39184995.990000002</v>
          </cell>
        </row>
        <row r="17">
          <cell r="C17" t="str">
            <v>SECTION</v>
          </cell>
          <cell r="D17">
            <v>1111112</v>
          </cell>
          <cell r="H17">
            <v>803122187.07873499</v>
          </cell>
        </row>
        <row r="18">
          <cell r="C18">
            <v>1111112</v>
          </cell>
          <cell r="D18">
            <v>1</v>
          </cell>
          <cell r="H18">
            <v>362061678.24000001</v>
          </cell>
        </row>
        <row r="19">
          <cell r="C19">
            <v>1111112</v>
          </cell>
          <cell r="D19">
            <v>2</v>
          </cell>
          <cell r="H19">
            <v>65483963.579999998</v>
          </cell>
        </row>
        <row r="20">
          <cell r="C20">
            <v>1111112</v>
          </cell>
          <cell r="D20">
            <v>3</v>
          </cell>
          <cell r="H20">
            <v>53263029.450000003</v>
          </cell>
        </row>
        <row r="21">
          <cell r="C21">
            <v>1111112</v>
          </cell>
          <cell r="D21">
            <v>4</v>
          </cell>
          <cell r="H21">
            <v>8113523.6462038532</v>
          </cell>
        </row>
        <row r="22">
          <cell r="C22">
            <v>1111112</v>
          </cell>
          <cell r="D22">
            <v>5</v>
          </cell>
          <cell r="H22">
            <v>200000</v>
          </cell>
        </row>
        <row r="23">
          <cell r="C23">
            <v>1111112</v>
          </cell>
          <cell r="D23">
            <v>7</v>
          </cell>
          <cell r="H23">
            <v>167999992.16253117</v>
          </cell>
        </row>
        <row r="24">
          <cell r="C24">
            <v>1111112</v>
          </cell>
          <cell r="D24">
            <v>9</v>
          </cell>
          <cell r="H24">
            <v>146000000</v>
          </cell>
        </row>
        <row r="25">
          <cell r="C25" t="str">
            <v>SECTION</v>
          </cell>
          <cell r="D25">
            <v>1111113</v>
          </cell>
          <cell r="H25">
            <v>71433444.679999992</v>
          </cell>
        </row>
        <row r="26">
          <cell r="C26">
            <v>1111113</v>
          </cell>
          <cell r="D26">
            <v>1</v>
          </cell>
          <cell r="H26">
            <v>40065572.719999991</v>
          </cell>
        </row>
        <row r="27">
          <cell r="C27">
            <v>1111113</v>
          </cell>
          <cell r="D27">
            <v>2</v>
          </cell>
          <cell r="H27">
            <v>31367871.960000001</v>
          </cell>
        </row>
        <row r="28">
          <cell r="C28">
            <v>1111113</v>
          </cell>
          <cell r="D28">
            <v>3</v>
          </cell>
          <cell r="H28">
            <v>0</v>
          </cell>
        </row>
        <row r="29">
          <cell r="C29">
            <v>1111113</v>
          </cell>
          <cell r="D29">
            <v>4</v>
          </cell>
          <cell r="H29">
            <v>0</v>
          </cell>
        </row>
        <row r="30">
          <cell r="C30">
            <v>1111113</v>
          </cell>
          <cell r="D30">
            <v>5</v>
          </cell>
          <cell r="H30">
            <v>0</v>
          </cell>
        </row>
        <row r="31">
          <cell r="C31">
            <v>1111113</v>
          </cell>
          <cell r="D31">
            <v>7</v>
          </cell>
          <cell r="H31">
            <v>0</v>
          </cell>
        </row>
        <row r="32">
          <cell r="C32">
            <v>1111113</v>
          </cell>
          <cell r="D32">
            <v>9</v>
          </cell>
          <cell r="H32">
            <v>0</v>
          </cell>
        </row>
        <row r="33">
          <cell r="C33" t="str">
            <v>SECTION</v>
          </cell>
          <cell r="D33">
            <v>1111114</v>
          </cell>
          <cell r="H33">
            <v>23821789.469999999</v>
          </cell>
        </row>
        <row r="34">
          <cell r="C34">
            <v>1111114</v>
          </cell>
          <cell r="D34">
            <v>1</v>
          </cell>
          <cell r="H34">
            <v>18036352.469999999</v>
          </cell>
        </row>
        <row r="35">
          <cell r="C35">
            <v>1111114</v>
          </cell>
          <cell r="D35">
            <v>2</v>
          </cell>
          <cell r="H35">
            <v>5785437</v>
          </cell>
        </row>
        <row r="36">
          <cell r="C36">
            <v>1111114</v>
          </cell>
          <cell r="D36">
            <v>3</v>
          </cell>
          <cell r="H36">
            <v>0</v>
          </cell>
        </row>
        <row r="37">
          <cell r="C37">
            <v>1111114</v>
          </cell>
          <cell r="D37">
            <v>4</v>
          </cell>
          <cell r="H37">
            <v>0</v>
          </cell>
        </row>
        <row r="38">
          <cell r="C38">
            <v>1111114</v>
          </cell>
          <cell r="D38">
            <v>5</v>
          </cell>
          <cell r="H38">
            <v>0</v>
          </cell>
        </row>
        <row r="39">
          <cell r="C39">
            <v>1111114</v>
          </cell>
          <cell r="D39">
            <v>7</v>
          </cell>
          <cell r="H39">
            <v>0</v>
          </cell>
        </row>
        <row r="40">
          <cell r="C40">
            <v>1111114</v>
          </cell>
          <cell r="D40">
            <v>9</v>
          </cell>
          <cell r="H40">
            <v>0</v>
          </cell>
        </row>
        <row r="41">
          <cell r="C41" t="str">
            <v>SECTION</v>
          </cell>
          <cell r="D41">
            <v>1111115</v>
          </cell>
          <cell r="H41">
            <v>74946044.109999999</v>
          </cell>
        </row>
        <row r="42">
          <cell r="C42">
            <v>1111115</v>
          </cell>
          <cell r="D42">
            <v>1</v>
          </cell>
          <cell r="H42">
            <v>54411940.109999999</v>
          </cell>
        </row>
        <row r="43">
          <cell r="C43">
            <v>1111115</v>
          </cell>
          <cell r="D43">
            <v>2</v>
          </cell>
          <cell r="H43">
            <v>20534104</v>
          </cell>
        </row>
        <row r="44">
          <cell r="C44">
            <v>1111115</v>
          </cell>
          <cell r="D44">
            <v>7</v>
          </cell>
          <cell r="H44">
            <v>0</v>
          </cell>
        </row>
        <row r="45">
          <cell r="C45" t="str">
            <v>MIN</v>
          </cell>
          <cell r="D45">
            <v>1112</v>
          </cell>
          <cell r="H45">
            <v>5352737277.2852993</v>
          </cell>
        </row>
        <row r="46">
          <cell r="C46" t="str">
            <v>chap</v>
          </cell>
          <cell r="D46">
            <v>11121</v>
          </cell>
          <cell r="H46">
            <v>1493353899.3403001</v>
          </cell>
        </row>
        <row r="47">
          <cell r="C47" t="str">
            <v>SECTION</v>
          </cell>
          <cell r="D47">
            <v>1112111</v>
          </cell>
          <cell r="H47">
            <v>74076330.820000008</v>
          </cell>
        </row>
        <row r="48">
          <cell r="C48">
            <v>1112111</v>
          </cell>
          <cell r="D48">
            <v>1</v>
          </cell>
          <cell r="H48">
            <v>34213151.260000005</v>
          </cell>
        </row>
        <row r="49">
          <cell r="C49">
            <v>1112111</v>
          </cell>
          <cell r="D49">
            <v>2</v>
          </cell>
          <cell r="H49">
            <v>16624179.759999998</v>
          </cell>
        </row>
        <row r="50">
          <cell r="C50">
            <v>1112111</v>
          </cell>
          <cell r="D50">
            <v>3</v>
          </cell>
          <cell r="H50">
            <v>6203967.6000000006</v>
          </cell>
        </row>
        <row r="51">
          <cell r="C51">
            <v>1112111</v>
          </cell>
          <cell r="D51">
            <v>4</v>
          </cell>
          <cell r="H51">
            <v>0</v>
          </cell>
        </row>
        <row r="52">
          <cell r="C52">
            <v>1112111</v>
          </cell>
          <cell r="D52">
            <v>5</v>
          </cell>
          <cell r="H52">
            <v>0</v>
          </cell>
        </row>
        <row r="53">
          <cell r="C53">
            <v>1112111</v>
          </cell>
          <cell r="D53">
            <v>7</v>
          </cell>
          <cell r="H53">
            <v>0</v>
          </cell>
        </row>
        <row r="54">
          <cell r="C54">
            <v>1112111</v>
          </cell>
          <cell r="D54">
            <v>9</v>
          </cell>
          <cell r="H54">
            <v>17035032.199999999</v>
          </cell>
        </row>
        <row r="55">
          <cell r="C55" t="str">
            <v>SECTION</v>
          </cell>
          <cell r="D55">
            <v>1112112</v>
          </cell>
          <cell r="H55">
            <v>1088078675.2763</v>
          </cell>
        </row>
        <row r="56">
          <cell r="C56">
            <v>1112112</v>
          </cell>
          <cell r="D56">
            <v>1</v>
          </cell>
          <cell r="H56">
            <v>516164287.52999985</v>
          </cell>
        </row>
        <row r="57">
          <cell r="C57">
            <v>1112112</v>
          </cell>
          <cell r="D57">
            <v>2</v>
          </cell>
          <cell r="H57">
            <v>90999515.615500018</v>
          </cell>
        </row>
        <row r="58">
          <cell r="C58">
            <v>1112112</v>
          </cell>
          <cell r="D58">
            <v>3</v>
          </cell>
          <cell r="H58">
            <v>89720088.228799999</v>
          </cell>
        </row>
        <row r="59">
          <cell r="C59">
            <v>1112112</v>
          </cell>
          <cell r="D59">
            <v>4</v>
          </cell>
          <cell r="H59">
            <v>27208696.140400007</v>
          </cell>
        </row>
        <row r="60">
          <cell r="C60">
            <v>1112112</v>
          </cell>
          <cell r="D60">
            <v>5</v>
          </cell>
          <cell r="H60">
            <v>679452.48719999986</v>
          </cell>
        </row>
        <row r="61">
          <cell r="C61">
            <v>1112112</v>
          </cell>
          <cell r="D61">
            <v>7</v>
          </cell>
          <cell r="H61">
            <v>538000</v>
          </cell>
        </row>
        <row r="62">
          <cell r="C62">
            <v>1112112</v>
          </cell>
          <cell r="D62">
            <v>9</v>
          </cell>
          <cell r="H62">
            <v>362768635.2744</v>
          </cell>
        </row>
        <row r="63">
          <cell r="C63" t="str">
            <v>SECTION</v>
          </cell>
          <cell r="D63">
            <v>1112119</v>
          </cell>
          <cell r="H63">
            <v>100000000.324</v>
          </cell>
        </row>
        <row r="64">
          <cell r="C64">
            <v>1112119</v>
          </cell>
          <cell r="D64">
            <v>1</v>
          </cell>
          <cell r="H64">
            <v>39000000</v>
          </cell>
        </row>
        <row r="65">
          <cell r="C65">
            <v>1112119</v>
          </cell>
          <cell r="D65">
            <v>2</v>
          </cell>
          <cell r="H65">
            <v>61000000.324000001</v>
          </cell>
        </row>
        <row r="66">
          <cell r="C66">
            <v>1112119</v>
          </cell>
          <cell r="D66">
            <v>7</v>
          </cell>
          <cell r="H66">
            <v>0</v>
          </cell>
        </row>
        <row r="67">
          <cell r="C67" t="str">
            <v>SECTION</v>
          </cell>
          <cell r="D67">
            <v>1112121</v>
          </cell>
          <cell r="H67">
            <v>159198893</v>
          </cell>
        </row>
        <row r="68">
          <cell r="C68">
            <v>1112121</v>
          </cell>
          <cell r="D68">
            <v>1</v>
          </cell>
          <cell r="H68">
            <v>98839225.099999994</v>
          </cell>
        </row>
        <row r="69">
          <cell r="C69">
            <v>1112121</v>
          </cell>
          <cell r="D69">
            <v>2</v>
          </cell>
          <cell r="H69">
            <v>60359667.900000006</v>
          </cell>
        </row>
        <row r="70">
          <cell r="C70">
            <v>1112121</v>
          </cell>
          <cell r="D70">
            <v>7</v>
          </cell>
          <cell r="H70">
            <v>0</v>
          </cell>
        </row>
        <row r="71">
          <cell r="C71" t="str">
            <v>SECTION</v>
          </cell>
          <cell r="D71">
            <v>1112122</v>
          </cell>
          <cell r="H71">
            <v>71999999.920000002</v>
          </cell>
        </row>
        <row r="72">
          <cell r="C72">
            <v>1112122</v>
          </cell>
          <cell r="D72">
            <v>1</v>
          </cell>
          <cell r="H72">
            <v>32516012.489999995</v>
          </cell>
        </row>
        <row r="73">
          <cell r="C73">
            <v>1112122</v>
          </cell>
          <cell r="D73">
            <v>2</v>
          </cell>
          <cell r="H73">
            <v>39483987.430000007</v>
          </cell>
        </row>
        <row r="74">
          <cell r="C74">
            <v>1112122</v>
          </cell>
          <cell r="D74">
            <v>3</v>
          </cell>
          <cell r="H74">
            <v>0</v>
          </cell>
        </row>
        <row r="75">
          <cell r="C75">
            <v>1112122</v>
          </cell>
          <cell r="D75">
            <v>4</v>
          </cell>
          <cell r="H75">
            <v>0</v>
          </cell>
        </row>
        <row r="76">
          <cell r="C76">
            <v>1112122</v>
          </cell>
          <cell r="D76">
            <v>5</v>
          </cell>
          <cell r="H76">
            <v>0</v>
          </cell>
        </row>
        <row r="77">
          <cell r="C77">
            <v>1112122</v>
          </cell>
          <cell r="D77">
            <v>7</v>
          </cell>
          <cell r="H77">
            <v>0</v>
          </cell>
        </row>
        <row r="78">
          <cell r="C78">
            <v>1112122</v>
          </cell>
          <cell r="D78">
            <v>9</v>
          </cell>
          <cell r="H78">
            <v>0</v>
          </cell>
        </row>
        <row r="79">
          <cell r="C79" t="str">
            <v>SECTION</v>
          </cell>
          <cell r="D79">
            <v>1112117</v>
          </cell>
          <cell r="H79">
            <v>0</v>
          </cell>
        </row>
        <row r="80">
          <cell r="C80">
            <v>1112117</v>
          </cell>
          <cell r="D80">
            <v>1</v>
          </cell>
          <cell r="H80">
            <v>0</v>
          </cell>
        </row>
        <row r="81">
          <cell r="C81" t="str">
            <v>SECTION</v>
          </cell>
          <cell r="D81">
            <v>1112128</v>
          </cell>
          <cell r="H81">
            <v>0</v>
          </cell>
        </row>
        <row r="82">
          <cell r="C82">
            <v>1112128</v>
          </cell>
          <cell r="D82">
            <v>7</v>
          </cell>
          <cell r="H82">
            <v>0</v>
          </cell>
        </row>
        <row r="83">
          <cell r="C83" t="str">
            <v>chap</v>
          </cell>
          <cell r="D83">
            <v>11122</v>
          </cell>
          <cell r="H83">
            <v>3859383377.9449987</v>
          </cell>
        </row>
        <row r="84">
          <cell r="C84" t="str">
            <v>SECTION</v>
          </cell>
          <cell r="D84">
            <v>1112213</v>
          </cell>
          <cell r="H84">
            <v>112204990.59099999</v>
          </cell>
        </row>
        <row r="85">
          <cell r="C85">
            <v>1112213</v>
          </cell>
          <cell r="D85">
            <v>1</v>
          </cell>
          <cell r="H85">
            <v>98960459.999999985</v>
          </cell>
        </row>
        <row r="86">
          <cell r="C86">
            <v>1112213</v>
          </cell>
          <cell r="D86">
            <v>2</v>
          </cell>
          <cell r="H86">
            <v>4718046.591</v>
          </cell>
        </row>
        <row r="87">
          <cell r="C87">
            <v>1112213</v>
          </cell>
          <cell r="D87">
            <v>3</v>
          </cell>
          <cell r="H87">
            <v>7192484</v>
          </cell>
        </row>
        <row r="88">
          <cell r="C88">
            <v>1112213</v>
          </cell>
          <cell r="D88">
            <v>4</v>
          </cell>
          <cell r="H88">
            <v>824000</v>
          </cell>
        </row>
        <row r="89">
          <cell r="C89">
            <v>1112213</v>
          </cell>
          <cell r="D89">
            <v>5</v>
          </cell>
          <cell r="H89">
            <v>300000</v>
          </cell>
        </row>
        <row r="90">
          <cell r="C90">
            <v>1112213</v>
          </cell>
          <cell r="D90">
            <v>7</v>
          </cell>
          <cell r="H90">
            <v>0</v>
          </cell>
        </row>
        <row r="91">
          <cell r="C91">
            <v>1112213</v>
          </cell>
          <cell r="D91">
            <v>9</v>
          </cell>
          <cell r="H91">
            <v>210000</v>
          </cell>
        </row>
        <row r="92">
          <cell r="C92" t="str">
            <v>SECTION</v>
          </cell>
          <cell r="D92">
            <v>1112214</v>
          </cell>
          <cell r="H92">
            <v>214679681.38999999</v>
          </cell>
        </row>
        <row r="93">
          <cell r="C93">
            <v>1112214</v>
          </cell>
          <cell r="D93">
            <v>1</v>
          </cell>
          <cell r="H93">
            <v>121319606.11</v>
          </cell>
        </row>
        <row r="94">
          <cell r="C94">
            <v>1112214</v>
          </cell>
          <cell r="D94">
            <v>2</v>
          </cell>
          <cell r="H94">
            <v>27038102.93</v>
          </cell>
        </row>
        <row r="95">
          <cell r="C95">
            <v>1112214</v>
          </cell>
          <cell r="D95">
            <v>3</v>
          </cell>
          <cell r="H95">
            <v>12796747.370000001</v>
          </cell>
        </row>
        <row r="96">
          <cell r="C96">
            <v>1112214</v>
          </cell>
          <cell r="D96">
            <v>4</v>
          </cell>
          <cell r="H96">
            <v>3598671.42</v>
          </cell>
        </row>
        <row r="97">
          <cell r="C97">
            <v>1112214</v>
          </cell>
          <cell r="D97">
            <v>5</v>
          </cell>
          <cell r="H97">
            <v>38760</v>
          </cell>
        </row>
        <row r="98">
          <cell r="C98">
            <v>1112214</v>
          </cell>
          <cell r="D98">
            <v>7</v>
          </cell>
          <cell r="H98">
            <v>500000</v>
          </cell>
        </row>
        <row r="99">
          <cell r="C99">
            <v>1112214</v>
          </cell>
          <cell r="D99">
            <v>9</v>
          </cell>
          <cell r="H99">
            <v>49387793.559999995</v>
          </cell>
        </row>
        <row r="100">
          <cell r="C100" t="str">
            <v>SECTION</v>
          </cell>
          <cell r="D100">
            <v>1112215</v>
          </cell>
          <cell r="H100">
            <v>1449998862</v>
          </cell>
        </row>
        <row r="101">
          <cell r="C101">
            <v>1112215</v>
          </cell>
          <cell r="D101">
            <v>1</v>
          </cell>
          <cell r="H101">
            <v>793010972.41000009</v>
          </cell>
        </row>
        <row r="102">
          <cell r="C102">
            <v>1112215</v>
          </cell>
          <cell r="D102">
            <v>2</v>
          </cell>
          <cell r="H102">
            <v>221529894.93000001</v>
          </cell>
        </row>
        <row r="103">
          <cell r="C103">
            <v>1112215</v>
          </cell>
          <cell r="D103">
            <v>3</v>
          </cell>
          <cell r="H103">
            <v>137638810.81</v>
          </cell>
        </row>
        <row r="104">
          <cell r="C104">
            <v>1112215</v>
          </cell>
          <cell r="D104">
            <v>4</v>
          </cell>
          <cell r="H104">
            <v>14419183.849999998</v>
          </cell>
        </row>
        <row r="105">
          <cell r="C105">
            <v>1112215</v>
          </cell>
          <cell r="D105">
            <v>5</v>
          </cell>
          <cell r="H105">
            <v>0</v>
          </cell>
        </row>
        <row r="106">
          <cell r="C106">
            <v>1112215</v>
          </cell>
          <cell r="D106">
            <v>7</v>
          </cell>
          <cell r="H106">
            <v>400000</v>
          </cell>
        </row>
        <row r="107">
          <cell r="C107">
            <v>1112215</v>
          </cell>
          <cell r="D107">
            <v>9</v>
          </cell>
          <cell r="H107">
            <v>283000000</v>
          </cell>
        </row>
        <row r="108">
          <cell r="C108" t="str">
            <v>SECTION</v>
          </cell>
          <cell r="D108">
            <v>1112216</v>
          </cell>
          <cell r="H108">
            <v>1960461859.3699992</v>
          </cell>
        </row>
        <row r="109">
          <cell r="C109">
            <v>1112216</v>
          </cell>
          <cell r="D109">
            <v>1</v>
          </cell>
          <cell r="H109">
            <v>957773305.94999981</v>
          </cell>
        </row>
        <row r="110">
          <cell r="C110">
            <v>1112216</v>
          </cell>
          <cell r="D110">
            <v>2</v>
          </cell>
          <cell r="H110">
            <v>561922316.12699997</v>
          </cell>
        </row>
        <row r="111">
          <cell r="C111">
            <v>1112216</v>
          </cell>
          <cell r="D111">
            <v>3</v>
          </cell>
          <cell r="H111">
            <v>177975568.278</v>
          </cell>
        </row>
        <row r="112">
          <cell r="C112">
            <v>1112216</v>
          </cell>
          <cell r="D112">
            <v>4</v>
          </cell>
          <cell r="H112">
            <v>74572042.248000011</v>
          </cell>
        </row>
        <row r="113">
          <cell r="C113">
            <v>1112216</v>
          </cell>
          <cell r="D113">
            <v>5</v>
          </cell>
          <cell r="H113">
            <v>2551896.304</v>
          </cell>
        </row>
        <row r="114">
          <cell r="C114">
            <v>1112216</v>
          </cell>
          <cell r="D114">
            <v>7</v>
          </cell>
          <cell r="H114">
            <v>3011334.12</v>
          </cell>
        </row>
        <row r="115">
          <cell r="C115">
            <v>1112216</v>
          </cell>
          <cell r="D115">
            <v>9</v>
          </cell>
          <cell r="H115">
            <v>182655396.34299999</v>
          </cell>
        </row>
        <row r="116">
          <cell r="C116" t="str">
            <v>SECTION</v>
          </cell>
          <cell r="D116">
            <v>1112225</v>
          </cell>
          <cell r="H116">
            <v>122037984.59400001</v>
          </cell>
        </row>
        <row r="117">
          <cell r="C117">
            <v>1112225</v>
          </cell>
          <cell r="D117">
            <v>1</v>
          </cell>
          <cell r="H117">
            <v>54500836.13000001</v>
          </cell>
        </row>
        <row r="118">
          <cell r="C118">
            <v>1112225</v>
          </cell>
          <cell r="D118">
            <v>2</v>
          </cell>
          <cell r="H118">
            <v>19980076.921</v>
          </cell>
        </row>
        <row r="119">
          <cell r="C119">
            <v>1112225</v>
          </cell>
          <cell r="D119">
            <v>3</v>
          </cell>
          <cell r="H119">
            <v>12134723.399999999</v>
          </cell>
        </row>
        <row r="120">
          <cell r="C120">
            <v>1112225</v>
          </cell>
          <cell r="D120">
            <v>4</v>
          </cell>
          <cell r="H120">
            <v>6920000.1430000011</v>
          </cell>
        </row>
        <row r="121">
          <cell r="C121">
            <v>1112225</v>
          </cell>
          <cell r="D121">
            <v>5</v>
          </cell>
          <cell r="H121">
            <v>0</v>
          </cell>
        </row>
        <row r="122">
          <cell r="C122">
            <v>1112225</v>
          </cell>
          <cell r="D122">
            <v>7</v>
          </cell>
          <cell r="H122">
            <v>0</v>
          </cell>
        </row>
        <row r="123">
          <cell r="C123">
            <v>1112225</v>
          </cell>
          <cell r="D123">
            <v>9</v>
          </cell>
          <cell r="H123">
            <v>28502348</v>
          </cell>
        </row>
        <row r="124">
          <cell r="C124" t="str">
            <v>MIN</v>
          </cell>
          <cell r="D124">
            <v>1113</v>
          </cell>
          <cell r="H124">
            <v>1370276572.2390001</v>
          </cell>
        </row>
        <row r="125">
          <cell r="C125" t="str">
            <v>chap</v>
          </cell>
          <cell r="D125">
            <v>11131</v>
          </cell>
          <cell r="H125">
            <v>1370276572.2390001</v>
          </cell>
        </row>
        <row r="126">
          <cell r="C126" t="str">
            <v>SECTION</v>
          </cell>
          <cell r="D126">
            <v>1113111</v>
          </cell>
          <cell r="H126">
            <v>149804878.52000001</v>
          </cell>
        </row>
        <row r="127">
          <cell r="C127">
            <v>1113111</v>
          </cell>
          <cell r="D127">
            <v>1</v>
          </cell>
          <cell r="H127">
            <v>67784354</v>
          </cell>
        </row>
        <row r="128">
          <cell r="C128">
            <v>1113111</v>
          </cell>
          <cell r="D128">
            <v>2</v>
          </cell>
          <cell r="H128">
            <v>821220.96</v>
          </cell>
        </row>
        <row r="129">
          <cell r="C129">
            <v>1113111</v>
          </cell>
          <cell r="D129">
            <v>3</v>
          </cell>
          <cell r="H129">
            <v>741521.48000000021</v>
          </cell>
        </row>
        <row r="130">
          <cell r="C130">
            <v>1113111</v>
          </cell>
          <cell r="D130">
            <v>4</v>
          </cell>
          <cell r="H130">
            <v>17660160.34</v>
          </cell>
        </row>
        <row r="131">
          <cell r="C131">
            <v>1113111</v>
          </cell>
          <cell r="D131">
            <v>5</v>
          </cell>
          <cell r="H131">
            <v>0</v>
          </cell>
        </row>
        <row r="132">
          <cell r="C132">
            <v>1113111</v>
          </cell>
          <cell r="D132">
            <v>7</v>
          </cell>
          <cell r="H132">
            <v>5306617.68</v>
          </cell>
        </row>
        <row r="133">
          <cell r="C133">
            <v>1113111</v>
          </cell>
          <cell r="D133">
            <v>9</v>
          </cell>
          <cell r="H133">
            <v>57491004.060000002</v>
          </cell>
        </row>
        <row r="134">
          <cell r="C134" t="str">
            <v>SECTION</v>
          </cell>
          <cell r="D134">
            <v>1113112</v>
          </cell>
          <cell r="H134">
            <v>986559199.61899996</v>
          </cell>
        </row>
        <row r="135">
          <cell r="C135">
            <v>1113112</v>
          </cell>
          <cell r="D135">
            <v>1</v>
          </cell>
          <cell r="H135">
            <v>627658849.19000006</v>
          </cell>
        </row>
        <row r="136">
          <cell r="C136">
            <v>1113112</v>
          </cell>
          <cell r="D136">
            <v>2</v>
          </cell>
          <cell r="H136">
            <v>45010309.779999986</v>
          </cell>
        </row>
        <row r="137">
          <cell r="C137">
            <v>1113112</v>
          </cell>
          <cell r="D137">
            <v>3</v>
          </cell>
          <cell r="H137">
            <v>67048043.740999997</v>
          </cell>
        </row>
        <row r="138">
          <cell r="C138">
            <v>1113112</v>
          </cell>
          <cell r="D138">
            <v>4</v>
          </cell>
          <cell r="H138">
            <v>11722733.088</v>
          </cell>
        </row>
        <row r="139">
          <cell r="C139">
            <v>1113112</v>
          </cell>
          <cell r="D139">
            <v>5</v>
          </cell>
          <cell r="H139">
            <v>0</v>
          </cell>
        </row>
        <row r="140">
          <cell r="C140">
            <v>1113112</v>
          </cell>
          <cell r="D140">
            <v>7</v>
          </cell>
          <cell r="H140">
            <v>3000000.04</v>
          </cell>
        </row>
        <row r="141">
          <cell r="C141">
            <v>1113112</v>
          </cell>
          <cell r="D141">
            <v>9</v>
          </cell>
          <cell r="H141">
            <v>232119263.77999997</v>
          </cell>
        </row>
        <row r="142">
          <cell r="C142" t="str">
            <v>SECTION</v>
          </cell>
          <cell r="D142">
            <v>1113113</v>
          </cell>
          <cell r="H142">
            <v>130071764.51999998</v>
          </cell>
        </row>
        <row r="143">
          <cell r="C143">
            <v>1113113</v>
          </cell>
          <cell r="D143">
            <v>1</v>
          </cell>
          <cell r="H143">
            <v>94623180.479999989</v>
          </cell>
        </row>
        <row r="144">
          <cell r="C144">
            <v>1113113</v>
          </cell>
          <cell r="D144">
            <v>2</v>
          </cell>
          <cell r="H144">
            <v>35448584.039999999</v>
          </cell>
        </row>
        <row r="145">
          <cell r="C145">
            <v>1113113</v>
          </cell>
          <cell r="D145">
            <v>3</v>
          </cell>
          <cell r="H145">
            <v>0</v>
          </cell>
        </row>
        <row r="146">
          <cell r="C146">
            <v>1113113</v>
          </cell>
          <cell r="D146">
            <v>4</v>
          </cell>
          <cell r="H146">
            <v>0</v>
          </cell>
        </row>
        <row r="147">
          <cell r="C147">
            <v>1113113</v>
          </cell>
          <cell r="D147">
            <v>5</v>
          </cell>
          <cell r="H147">
            <v>0</v>
          </cell>
        </row>
        <row r="148">
          <cell r="C148">
            <v>1113113</v>
          </cell>
          <cell r="D148">
            <v>7</v>
          </cell>
          <cell r="H148">
            <v>0</v>
          </cell>
        </row>
        <row r="149">
          <cell r="C149">
            <v>1113113</v>
          </cell>
          <cell r="D149">
            <v>9</v>
          </cell>
          <cell r="H149">
            <v>0</v>
          </cell>
        </row>
        <row r="150">
          <cell r="C150" t="str">
            <v>SECTION</v>
          </cell>
          <cell r="D150">
            <v>1113114</v>
          </cell>
          <cell r="H150">
            <v>74999999.700000003</v>
          </cell>
        </row>
        <row r="151">
          <cell r="C151">
            <v>1113114</v>
          </cell>
          <cell r="D151">
            <v>1</v>
          </cell>
          <cell r="H151">
            <v>54450445.000000007</v>
          </cell>
        </row>
        <row r="152">
          <cell r="C152">
            <v>1113114</v>
          </cell>
          <cell r="D152">
            <v>2</v>
          </cell>
          <cell r="H152">
            <v>20549554.699999999</v>
          </cell>
        </row>
        <row r="153">
          <cell r="C153">
            <v>1113114</v>
          </cell>
          <cell r="D153">
            <v>3</v>
          </cell>
          <cell r="H153">
            <v>0</v>
          </cell>
        </row>
        <row r="154">
          <cell r="C154">
            <v>1113114</v>
          </cell>
          <cell r="D154">
            <v>4</v>
          </cell>
          <cell r="H154">
            <v>0</v>
          </cell>
        </row>
        <row r="155">
          <cell r="C155">
            <v>1113114</v>
          </cell>
          <cell r="D155">
            <v>5</v>
          </cell>
          <cell r="H155">
            <v>0</v>
          </cell>
        </row>
        <row r="156">
          <cell r="C156">
            <v>1113114</v>
          </cell>
          <cell r="D156">
            <v>7</v>
          </cell>
          <cell r="H156">
            <v>0</v>
          </cell>
        </row>
        <row r="157">
          <cell r="C157">
            <v>1113114</v>
          </cell>
          <cell r="D157">
            <v>9</v>
          </cell>
          <cell r="H157">
            <v>0</v>
          </cell>
        </row>
        <row r="158">
          <cell r="C158" t="str">
            <v>SECTION</v>
          </cell>
          <cell r="D158">
            <v>1113116</v>
          </cell>
          <cell r="H158">
            <v>12018583.879999999</v>
          </cell>
        </row>
        <row r="159">
          <cell r="C159">
            <v>1113116</v>
          </cell>
          <cell r="D159">
            <v>1</v>
          </cell>
          <cell r="H159">
            <v>8128879.9199999981</v>
          </cell>
        </row>
        <row r="160">
          <cell r="C160">
            <v>1113116</v>
          </cell>
          <cell r="D160">
            <v>2</v>
          </cell>
          <cell r="H160">
            <v>3889703.9600000004</v>
          </cell>
        </row>
        <row r="161">
          <cell r="C161">
            <v>1113116</v>
          </cell>
          <cell r="D161">
            <v>7</v>
          </cell>
          <cell r="H161">
            <v>0</v>
          </cell>
        </row>
        <row r="162">
          <cell r="C162" t="str">
            <v>SECTION</v>
          </cell>
          <cell r="D162">
            <v>1113117</v>
          </cell>
          <cell r="H162">
            <v>16822146</v>
          </cell>
        </row>
        <row r="163">
          <cell r="C163">
            <v>1113117</v>
          </cell>
          <cell r="D163">
            <v>1</v>
          </cell>
          <cell r="H163">
            <v>8693898</v>
          </cell>
        </row>
        <row r="164">
          <cell r="C164">
            <v>1113117</v>
          </cell>
          <cell r="D164">
            <v>2</v>
          </cell>
          <cell r="H164">
            <v>8128248</v>
          </cell>
        </row>
        <row r="165">
          <cell r="C165">
            <v>1113117</v>
          </cell>
          <cell r="D165">
            <v>7</v>
          </cell>
          <cell r="H165">
            <v>0</v>
          </cell>
        </row>
        <row r="166">
          <cell r="C166" t="str">
            <v>MIN</v>
          </cell>
          <cell r="D166">
            <v>1114</v>
          </cell>
          <cell r="H166">
            <v>1088083961.819</v>
          </cell>
        </row>
        <row r="167">
          <cell r="C167" t="str">
            <v>chap</v>
          </cell>
          <cell r="D167">
            <v>11141</v>
          </cell>
          <cell r="H167">
            <v>1088083961.819</v>
          </cell>
        </row>
        <row r="168">
          <cell r="C168" t="str">
            <v>SECTION</v>
          </cell>
          <cell r="D168">
            <v>1114111</v>
          </cell>
          <cell r="H168">
            <v>58255423.911999993</v>
          </cell>
        </row>
        <row r="169">
          <cell r="C169">
            <v>1114111</v>
          </cell>
          <cell r="D169">
            <v>1</v>
          </cell>
          <cell r="H169">
            <v>41257058.039999992</v>
          </cell>
        </row>
        <row r="170">
          <cell r="C170">
            <v>1114111</v>
          </cell>
          <cell r="D170">
            <v>2</v>
          </cell>
          <cell r="H170">
            <v>6175007.9960000012</v>
          </cell>
        </row>
        <row r="171">
          <cell r="C171">
            <v>1114111</v>
          </cell>
          <cell r="D171">
            <v>3</v>
          </cell>
          <cell r="H171">
            <v>2972422.8</v>
          </cell>
        </row>
        <row r="172">
          <cell r="C172">
            <v>1114111</v>
          </cell>
          <cell r="D172">
            <v>4</v>
          </cell>
          <cell r="H172">
            <v>7150455.4759999998</v>
          </cell>
        </row>
        <row r="173">
          <cell r="C173">
            <v>1114111</v>
          </cell>
          <cell r="D173">
            <v>5</v>
          </cell>
          <cell r="H173">
            <v>0</v>
          </cell>
        </row>
        <row r="174">
          <cell r="C174">
            <v>1114111</v>
          </cell>
          <cell r="D174">
            <v>7</v>
          </cell>
          <cell r="H174">
            <v>700475.76000000013</v>
          </cell>
        </row>
        <row r="175">
          <cell r="C175">
            <v>1114111</v>
          </cell>
          <cell r="D175">
            <v>9</v>
          </cell>
          <cell r="H175">
            <v>3.8399999999965075</v>
          </cell>
        </row>
        <row r="176">
          <cell r="C176" t="str">
            <v>SECTION</v>
          </cell>
          <cell r="D176">
            <v>1114112</v>
          </cell>
          <cell r="H176">
            <v>562984671.67499995</v>
          </cell>
        </row>
        <row r="177">
          <cell r="C177">
            <v>1114112</v>
          </cell>
          <cell r="D177">
            <v>1</v>
          </cell>
          <cell r="H177">
            <v>386892485.08000004</v>
          </cell>
        </row>
        <row r="178">
          <cell r="C178">
            <v>1114112</v>
          </cell>
          <cell r="D178">
            <v>2</v>
          </cell>
          <cell r="H178">
            <v>77054144.202999979</v>
          </cell>
        </row>
        <row r="179">
          <cell r="C179">
            <v>1114112</v>
          </cell>
          <cell r="D179">
            <v>3</v>
          </cell>
          <cell r="H179">
            <v>68950172.112000018</v>
          </cell>
        </row>
        <row r="180">
          <cell r="C180">
            <v>1114112</v>
          </cell>
          <cell r="D180">
            <v>4</v>
          </cell>
          <cell r="H180">
            <v>3164749.32</v>
          </cell>
        </row>
        <row r="181">
          <cell r="C181">
            <v>1114112</v>
          </cell>
          <cell r="D181">
            <v>5</v>
          </cell>
          <cell r="H181">
            <v>0</v>
          </cell>
        </row>
        <row r="182">
          <cell r="C182">
            <v>1114112</v>
          </cell>
          <cell r="D182">
            <v>7</v>
          </cell>
          <cell r="H182">
            <v>0</v>
          </cell>
        </row>
        <row r="183">
          <cell r="C183">
            <v>1114112</v>
          </cell>
          <cell r="D183">
            <v>9</v>
          </cell>
          <cell r="H183">
            <v>26923120.959999997</v>
          </cell>
        </row>
        <row r="184">
          <cell r="C184" t="str">
            <v>SECTION</v>
          </cell>
          <cell r="D184">
            <v>1114115</v>
          </cell>
          <cell r="H184">
            <v>23093809.440000005</v>
          </cell>
        </row>
        <row r="185">
          <cell r="C185">
            <v>1114115</v>
          </cell>
          <cell r="D185">
            <v>1</v>
          </cell>
          <cell r="H185">
            <v>19732652.520000003</v>
          </cell>
        </row>
        <row r="186">
          <cell r="C186">
            <v>1114115</v>
          </cell>
          <cell r="D186">
            <v>2</v>
          </cell>
          <cell r="H186">
            <v>3361156.9200000004</v>
          </cell>
        </row>
        <row r="187">
          <cell r="C187">
            <v>1114115</v>
          </cell>
          <cell r="D187">
            <v>3</v>
          </cell>
          <cell r="H187">
            <v>0</v>
          </cell>
        </row>
        <row r="188">
          <cell r="C188">
            <v>1114115</v>
          </cell>
          <cell r="D188">
            <v>4</v>
          </cell>
          <cell r="H188">
            <v>0</v>
          </cell>
        </row>
        <row r="189">
          <cell r="C189">
            <v>1114115</v>
          </cell>
          <cell r="D189">
            <v>5</v>
          </cell>
          <cell r="H189">
            <v>0</v>
          </cell>
        </row>
        <row r="190">
          <cell r="C190">
            <v>1114115</v>
          </cell>
          <cell r="D190">
            <v>7</v>
          </cell>
          <cell r="H190">
            <v>0</v>
          </cell>
        </row>
        <row r="191">
          <cell r="C191">
            <v>1114115</v>
          </cell>
          <cell r="D191">
            <v>9</v>
          </cell>
          <cell r="H191">
            <v>0</v>
          </cell>
        </row>
        <row r="192">
          <cell r="C192" t="str">
            <v>SECTION</v>
          </cell>
          <cell r="D192">
            <v>1114116</v>
          </cell>
          <cell r="H192">
            <v>61999951.877999991</v>
          </cell>
        </row>
        <row r="193">
          <cell r="C193">
            <v>1114116</v>
          </cell>
          <cell r="D193">
            <v>1</v>
          </cell>
          <cell r="H193">
            <v>48350615.959999993</v>
          </cell>
        </row>
        <row r="194">
          <cell r="C194">
            <v>1114116</v>
          </cell>
          <cell r="D194">
            <v>2</v>
          </cell>
          <cell r="H194">
            <v>13649335.918000001</v>
          </cell>
        </row>
        <row r="195">
          <cell r="C195">
            <v>1114116</v>
          </cell>
          <cell r="D195">
            <v>3</v>
          </cell>
          <cell r="H195">
            <v>0</v>
          </cell>
        </row>
        <row r="196">
          <cell r="C196">
            <v>1114116</v>
          </cell>
          <cell r="D196">
            <v>4</v>
          </cell>
          <cell r="H196">
            <v>0</v>
          </cell>
        </row>
        <row r="197">
          <cell r="C197">
            <v>1114116</v>
          </cell>
          <cell r="D197">
            <v>5</v>
          </cell>
          <cell r="H197">
            <v>0</v>
          </cell>
        </row>
        <row r="198">
          <cell r="C198">
            <v>1114116</v>
          </cell>
          <cell r="D198">
            <v>7</v>
          </cell>
          <cell r="H198">
            <v>0</v>
          </cell>
        </row>
        <row r="199">
          <cell r="C199">
            <v>1114116</v>
          </cell>
          <cell r="D199">
            <v>9</v>
          </cell>
          <cell r="H199">
            <v>0</v>
          </cell>
        </row>
        <row r="200">
          <cell r="C200" t="str">
            <v>SECTION</v>
          </cell>
          <cell r="D200">
            <v>1114117</v>
          </cell>
          <cell r="H200">
            <v>35000000.038000003</v>
          </cell>
        </row>
        <row r="201">
          <cell r="C201">
            <v>1114117</v>
          </cell>
          <cell r="D201">
            <v>1</v>
          </cell>
          <cell r="H201">
            <v>19217410</v>
          </cell>
        </row>
        <row r="202">
          <cell r="C202">
            <v>1114117</v>
          </cell>
          <cell r="D202">
            <v>2</v>
          </cell>
          <cell r="H202">
            <v>15782590.038000003</v>
          </cell>
        </row>
        <row r="203">
          <cell r="C203">
            <v>1114117</v>
          </cell>
          <cell r="D203">
            <v>3</v>
          </cell>
          <cell r="H203">
            <v>0</v>
          </cell>
        </row>
        <row r="204">
          <cell r="C204">
            <v>1114117</v>
          </cell>
          <cell r="D204">
            <v>4</v>
          </cell>
          <cell r="H204">
            <v>0</v>
          </cell>
        </row>
        <row r="205">
          <cell r="C205">
            <v>1114117</v>
          </cell>
          <cell r="D205">
            <v>5</v>
          </cell>
          <cell r="H205">
            <v>0</v>
          </cell>
        </row>
        <row r="206">
          <cell r="C206">
            <v>1114117</v>
          </cell>
          <cell r="D206">
            <v>7</v>
          </cell>
          <cell r="H206">
            <v>0</v>
          </cell>
        </row>
        <row r="207">
          <cell r="C207">
            <v>1114117</v>
          </cell>
          <cell r="D207">
            <v>9</v>
          </cell>
          <cell r="H207">
            <v>0</v>
          </cell>
        </row>
        <row r="208">
          <cell r="C208" t="str">
            <v>SECTION</v>
          </cell>
          <cell r="D208">
            <v>1114118</v>
          </cell>
          <cell r="H208">
            <v>7740558.1219999995</v>
          </cell>
        </row>
        <row r="209">
          <cell r="C209">
            <v>1114118</v>
          </cell>
          <cell r="D209">
            <v>1</v>
          </cell>
          <cell r="H209">
            <v>7255598.1599999992</v>
          </cell>
        </row>
        <row r="210">
          <cell r="C210">
            <v>1114118</v>
          </cell>
          <cell r="D210">
            <v>2</v>
          </cell>
          <cell r="H210">
            <v>484959.96200000006</v>
          </cell>
        </row>
        <row r="211">
          <cell r="C211">
            <v>1114118</v>
          </cell>
          <cell r="D211">
            <v>3</v>
          </cell>
          <cell r="H211">
            <v>0</v>
          </cell>
        </row>
        <row r="212">
          <cell r="C212">
            <v>1114118</v>
          </cell>
          <cell r="D212">
            <v>4</v>
          </cell>
          <cell r="H212">
            <v>0</v>
          </cell>
        </row>
        <row r="213">
          <cell r="C213">
            <v>1114118</v>
          </cell>
          <cell r="D213">
            <v>5</v>
          </cell>
          <cell r="H213">
            <v>0</v>
          </cell>
        </row>
        <row r="214">
          <cell r="C214">
            <v>1114118</v>
          </cell>
          <cell r="D214">
            <v>7</v>
          </cell>
          <cell r="H214">
            <v>0</v>
          </cell>
        </row>
        <row r="215">
          <cell r="C215">
            <v>1114118</v>
          </cell>
          <cell r="D215">
            <v>9</v>
          </cell>
          <cell r="H215">
            <v>0</v>
          </cell>
        </row>
        <row r="216">
          <cell r="C216" t="str">
            <v>SECTION</v>
          </cell>
          <cell r="D216">
            <v>1114119</v>
          </cell>
          <cell r="H216">
            <v>60000001.002000004</v>
          </cell>
        </row>
        <row r="217">
          <cell r="C217">
            <v>1114119</v>
          </cell>
          <cell r="D217">
            <v>1</v>
          </cell>
          <cell r="H217">
            <v>46304432.870000005</v>
          </cell>
        </row>
        <row r="218">
          <cell r="C218">
            <v>1114119</v>
          </cell>
          <cell r="D218">
            <v>2</v>
          </cell>
          <cell r="H218">
            <v>13695568.132000001</v>
          </cell>
        </row>
        <row r="219">
          <cell r="C219">
            <v>1114119</v>
          </cell>
          <cell r="D219">
            <v>3</v>
          </cell>
          <cell r="H219">
            <v>0</v>
          </cell>
        </row>
        <row r="220">
          <cell r="C220">
            <v>1114119</v>
          </cell>
          <cell r="D220">
            <v>4</v>
          </cell>
          <cell r="H220">
            <v>0</v>
          </cell>
        </row>
        <row r="221">
          <cell r="C221">
            <v>1114119</v>
          </cell>
          <cell r="D221">
            <v>5</v>
          </cell>
          <cell r="H221">
            <v>0</v>
          </cell>
        </row>
        <row r="222">
          <cell r="C222">
            <v>1114119</v>
          </cell>
          <cell r="D222">
            <v>7</v>
          </cell>
          <cell r="H222">
            <v>0</v>
          </cell>
        </row>
        <row r="223">
          <cell r="C223">
            <v>1114119</v>
          </cell>
          <cell r="D223">
            <v>9</v>
          </cell>
          <cell r="H223">
            <v>0</v>
          </cell>
        </row>
        <row r="224">
          <cell r="C224" t="str">
            <v>SECTION</v>
          </cell>
          <cell r="D224">
            <v>1114120</v>
          </cell>
          <cell r="H224">
            <v>4994417.0360000003</v>
          </cell>
        </row>
        <row r="225">
          <cell r="C225">
            <v>1114120</v>
          </cell>
          <cell r="D225">
            <v>1</v>
          </cell>
          <cell r="H225">
            <v>119730</v>
          </cell>
        </row>
        <row r="226">
          <cell r="C226">
            <v>1114120</v>
          </cell>
          <cell r="D226">
            <v>2</v>
          </cell>
          <cell r="H226">
            <v>4874687.0360000003</v>
          </cell>
        </row>
        <row r="227">
          <cell r="C227">
            <v>1114120</v>
          </cell>
          <cell r="D227">
            <v>7</v>
          </cell>
          <cell r="H227">
            <v>0</v>
          </cell>
        </row>
        <row r="228">
          <cell r="C228" t="str">
            <v>SECTION</v>
          </cell>
          <cell r="D228">
            <v>1114121</v>
          </cell>
          <cell r="H228">
            <v>210015128.676</v>
          </cell>
        </row>
        <row r="229">
          <cell r="C229">
            <v>1114121</v>
          </cell>
          <cell r="D229">
            <v>1</v>
          </cell>
          <cell r="H229">
            <v>136464798.64000002</v>
          </cell>
        </row>
        <row r="230">
          <cell r="C230">
            <v>1114121</v>
          </cell>
          <cell r="D230">
            <v>2</v>
          </cell>
          <cell r="H230">
            <v>73550330.035999998</v>
          </cell>
        </row>
        <row r="231">
          <cell r="C231">
            <v>1114121</v>
          </cell>
          <cell r="D231">
            <v>7</v>
          </cell>
          <cell r="H231">
            <v>0</v>
          </cell>
        </row>
        <row r="232">
          <cell r="C232" t="str">
            <v>SECTION</v>
          </cell>
          <cell r="D232">
            <v>1114122</v>
          </cell>
          <cell r="H232">
            <v>64000000.039999999</v>
          </cell>
        </row>
        <row r="233">
          <cell r="C233">
            <v>1114122</v>
          </cell>
          <cell r="D233">
            <v>1</v>
          </cell>
          <cell r="H233">
            <v>52722683.039999999</v>
          </cell>
        </row>
        <row r="234">
          <cell r="C234">
            <v>1114122</v>
          </cell>
          <cell r="D234">
            <v>2</v>
          </cell>
          <cell r="H234">
            <v>11277317</v>
          </cell>
        </row>
        <row r="235">
          <cell r="C235">
            <v>1114122</v>
          </cell>
          <cell r="D235">
            <v>7</v>
          </cell>
          <cell r="H235">
            <v>0</v>
          </cell>
        </row>
        <row r="236">
          <cell r="C236" t="str">
            <v>MIN</v>
          </cell>
          <cell r="D236">
            <v>1115</v>
          </cell>
          <cell r="H236">
            <v>573830435.78543365</v>
          </cell>
        </row>
        <row r="237">
          <cell r="C237" t="str">
            <v>chap</v>
          </cell>
          <cell r="D237">
            <v>11151</v>
          </cell>
          <cell r="H237">
            <v>573830435.78543365</v>
          </cell>
        </row>
        <row r="238">
          <cell r="C238" t="str">
            <v>SECTION</v>
          </cell>
          <cell r="D238">
            <v>1115111</v>
          </cell>
          <cell r="H238">
            <v>55285665.570504658</v>
          </cell>
        </row>
        <row r="239">
          <cell r="C239">
            <v>1115111</v>
          </cell>
          <cell r="D239">
            <v>1</v>
          </cell>
          <cell r="H239">
            <v>28628149.996504657</v>
          </cell>
        </row>
        <row r="240">
          <cell r="C240">
            <v>1115111</v>
          </cell>
          <cell r="D240">
            <v>2</v>
          </cell>
          <cell r="H240">
            <v>9696072.256000001</v>
          </cell>
        </row>
        <row r="241">
          <cell r="C241">
            <v>1115111</v>
          </cell>
          <cell r="D241">
            <v>3</v>
          </cell>
          <cell r="H241">
            <v>12161298.998</v>
          </cell>
        </row>
        <row r="242">
          <cell r="C242">
            <v>1115111</v>
          </cell>
          <cell r="D242">
            <v>4</v>
          </cell>
          <cell r="H242">
            <v>3800180</v>
          </cell>
        </row>
        <row r="243">
          <cell r="C243">
            <v>1115111</v>
          </cell>
          <cell r="D243">
            <v>5</v>
          </cell>
          <cell r="H243">
            <v>0</v>
          </cell>
        </row>
        <row r="244">
          <cell r="C244">
            <v>1115111</v>
          </cell>
          <cell r="D244">
            <v>7</v>
          </cell>
          <cell r="H244">
            <v>0</v>
          </cell>
        </row>
        <row r="245">
          <cell r="C245">
            <v>1115111</v>
          </cell>
          <cell r="D245">
            <v>9</v>
          </cell>
          <cell r="H245">
            <v>999964.31999999983</v>
          </cell>
        </row>
        <row r="246">
          <cell r="C246" t="str">
            <v>SECTION</v>
          </cell>
          <cell r="D246">
            <v>1115112</v>
          </cell>
          <cell r="H246">
            <v>263084330.47492906</v>
          </cell>
        </row>
        <row r="247">
          <cell r="C247">
            <v>1115112</v>
          </cell>
          <cell r="D247">
            <v>1</v>
          </cell>
          <cell r="H247">
            <v>210864332.50000003</v>
          </cell>
        </row>
        <row r="248">
          <cell r="C248">
            <v>1115112</v>
          </cell>
          <cell r="D248">
            <v>2</v>
          </cell>
          <cell r="H248">
            <v>6671491.0410000002</v>
          </cell>
        </row>
        <row r="249">
          <cell r="C249">
            <v>1115112</v>
          </cell>
          <cell r="D249">
            <v>3</v>
          </cell>
          <cell r="H249">
            <v>8708134.993999999</v>
          </cell>
        </row>
        <row r="250">
          <cell r="C250">
            <v>1115112</v>
          </cell>
          <cell r="D250">
            <v>4</v>
          </cell>
          <cell r="H250">
            <v>8340387.9399290271</v>
          </cell>
        </row>
        <row r="251">
          <cell r="C251">
            <v>1115112</v>
          </cell>
          <cell r="D251">
            <v>5</v>
          </cell>
          <cell r="H251">
            <v>0</v>
          </cell>
        </row>
        <row r="252">
          <cell r="C252">
            <v>1115112</v>
          </cell>
          <cell r="D252">
            <v>7</v>
          </cell>
          <cell r="H252">
            <v>0</v>
          </cell>
        </row>
        <row r="253">
          <cell r="C253">
            <v>1115112</v>
          </cell>
          <cell r="D253">
            <v>9</v>
          </cell>
          <cell r="H253">
            <v>28499984</v>
          </cell>
        </row>
        <row r="254">
          <cell r="C254" t="str">
            <v>SECTION</v>
          </cell>
          <cell r="D254">
            <v>1115113</v>
          </cell>
          <cell r="H254">
            <v>104269392.00000001</v>
          </cell>
        </row>
        <row r="255">
          <cell r="C255">
            <v>1115113</v>
          </cell>
          <cell r="D255">
            <v>1</v>
          </cell>
          <cell r="H255">
            <v>82074420.000000015</v>
          </cell>
        </row>
        <row r="256">
          <cell r="C256">
            <v>1115113</v>
          </cell>
          <cell r="D256">
            <v>2</v>
          </cell>
          <cell r="H256">
            <v>22194972</v>
          </cell>
        </row>
        <row r="257">
          <cell r="C257">
            <v>1115113</v>
          </cell>
          <cell r="D257">
            <v>7</v>
          </cell>
          <cell r="H257">
            <v>0</v>
          </cell>
        </row>
        <row r="258">
          <cell r="C258" t="str">
            <v>SECTION</v>
          </cell>
          <cell r="D258">
            <v>1115115</v>
          </cell>
          <cell r="H258">
            <v>41068992.450000003</v>
          </cell>
        </row>
        <row r="259">
          <cell r="C259">
            <v>1115115</v>
          </cell>
          <cell r="D259">
            <v>1</v>
          </cell>
          <cell r="H259">
            <v>19800150.520000003</v>
          </cell>
        </row>
        <row r="260">
          <cell r="C260">
            <v>1115115</v>
          </cell>
          <cell r="D260">
            <v>2</v>
          </cell>
          <cell r="H260">
            <v>21268841.93</v>
          </cell>
        </row>
        <row r="261">
          <cell r="C261">
            <v>1115115</v>
          </cell>
          <cell r="D261">
            <v>7</v>
          </cell>
          <cell r="H261">
            <v>0</v>
          </cell>
        </row>
        <row r="262">
          <cell r="C262" t="str">
            <v>SECTION</v>
          </cell>
          <cell r="D262">
            <v>1115116</v>
          </cell>
          <cell r="H262">
            <v>110122055.28999999</v>
          </cell>
        </row>
        <row r="263">
          <cell r="C263">
            <v>1115116</v>
          </cell>
          <cell r="D263">
            <v>1</v>
          </cell>
          <cell r="H263">
            <v>47220749.989999995</v>
          </cell>
        </row>
        <row r="264">
          <cell r="C264">
            <v>1115116</v>
          </cell>
          <cell r="D264">
            <v>2</v>
          </cell>
          <cell r="H264">
            <v>62901305.299999997</v>
          </cell>
        </row>
        <row r="265">
          <cell r="C265">
            <v>1115116</v>
          </cell>
          <cell r="D265">
            <v>7</v>
          </cell>
          <cell r="H265">
            <v>0</v>
          </cell>
        </row>
        <row r="266">
          <cell r="C266" t="str">
            <v>MIN</v>
          </cell>
          <cell r="D266">
            <v>1116</v>
          </cell>
          <cell r="H266">
            <v>463021511.19600004</v>
          </cell>
        </row>
        <row r="267">
          <cell r="C267" t="str">
            <v>chap</v>
          </cell>
          <cell r="D267">
            <v>11161</v>
          </cell>
          <cell r="H267">
            <v>463021511.19600004</v>
          </cell>
        </row>
        <row r="268">
          <cell r="C268" t="str">
            <v>SECTION</v>
          </cell>
          <cell r="D268">
            <v>1116111</v>
          </cell>
          <cell r="H268">
            <v>96366872.790000007</v>
          </cell>
        </row>
        <row r="269">
          <cell r="C269">
            <v>1116111</v>
          </cell>
          <cell r="D269">
            <v>1</v>
          </cell>
          <cell r="H269">
            <v>50487005.960000008</v>
          </cell>
        </row>
        <row r="270">
          <cell r="C270">
            <v>1116111</v>
          </cell>
          <cell r="D270">
            <v>2</v>
          </cell>
          <cell r="H270">
            <v>9068990.4400000013</v>
          </cell>
        </row>
        <row r="271">
          <cell r="C271">
            <v>1116111</v>
          </cell>
          <cell r="D271">
            <v>3</v>
          </cell>
          <cell r="H271">
            <v>26827304.160000004</v>
          </cell>
        </row>
        <row r="272">
          <cell r="C272">
            <v>1116111</v>
          </cell>
          <cell r="D272">
            <v>4</v>
          </cell>
          <cell r="H272">
            <v>0</v>
          </cell>
        </row>
        <row r="273">
          <cell r="C273">
            <v>1116111</v>
          </cell>
          <cell r="D273">
            <v>5</v>
          </cell>
          <cell r="H273">
            <v>0</v>
          </cell>
        </row>
        <row r="274">
          <cell r="C274">
            <v>1116111</v>
          </cell>
          <cell r="D274">
            <v>7</v>
          </cell>
          <cell r="H274">
            <v>0</v>
          </cell>
        </row>
        <row r="275">
          <cell r="C275">
            <v>1116111</v>
          </cell>
          <cell r="D275">
            <v>9</v>
          </cell>
          <cell r="H275">
            <v>9983572.2300000004</v>
          </cell>
        </row>
        <row r="276">
          <cell r="C276" t="str">
            <v>SECTION</v>
          </cell>
          <cell r="D276">
            <v>1116112</v>
          </cell>
          <cell r="H276">
            <v>366654638.40600002</v>
          </cell>
        </row>
        <row r="277">
          <cell r="C277">
            <v>1116112</v>
          </cell>
          <cell r="D277">
            <v>1</v>
          </cell>
          <cell r="H277">
            <v>264235345.92000002</v>
          </cell>
        </row>
        <row r="278">
          <cell r="C278">
            <v>1116112</v>
          </cell>
          <cell r="D278">
            <v>2</v>
          </cell>
          <cell r="H278">
            <v>29414363.770000003</v>
          </cell>
        </row>
        <row r="279">
          <cell r="C279">
            <v>1116112</v>
          </cell>
          <cell r="D279">
            <v>3</v>
          </cell>
          <cell r="H279">
            <v>16884741.940000001</v>
          </cell>
        </row>
        <row r="280">
          <cell r="C280">
            <v>1116112</v>
          </cell>
          <cell r="D280">
            <v>4</v>
          </cell>
          <cell r="H280">
            <v>11048843.765999999</v>
          </cell>
        </row>
        <row r="281">
          <cell r="C281">
            <v>1116112</v>
          </cell>
          <cell r="D281">
            <v>5</v>
          </cell>
          <cell r="H281">
            <v>2000000.04</v>
          </cell>
        </row>
        <row r="282">
          <cell r="C282">
            <v>1116112</v>
          </cell>
          <cell r="D282">
            <v>7</v>
          </cell>
          <cell r="H282">
            <v>5959551.9699999997</v>
          </cell>
        </row>
        <row r="283">
          <cell r="C283">
            <v>1116112</v>
          </cell>
          <cell r="D283">
            <v>9</v>
          </cell>
          <cell r="H283">
            <v>37111791</v>
          </cell>
        </row>
        <row r="284">
          <cell r="C284" t="str">
            <v>MIN</v>
          </cell>
          <cell r="D284">
            <v>1117</v>
          </cell>
          <cell r="H284">
            <v>209836790.89038906</v>
          </cell>
        </row>
        <row r="285">
          <cell r="C285" t="str">
            <v>chap</v>
          </cell>
          <cell r="D285">
            <v>11171</v>
          </cell>
          <cell r="H285">
            <v>209836790.89038906</v>
          </cell>
        </row>
        <row r="286">
          <cell r="C286" t="str">
            <v>SECTION</v>
          </cell>
          <cell r="D286">
            <v>1117111</v>
          </cell>
          <cell r="H286">
            <v>36460521.296388999</v>
          </cell>
        </row>
        <row r="287">
          <cell r="C287">
            <v>1117111</v>
          </cell>
          <cell r="D287">
            <v>1</v>
          </cell>
          <cell r="H287">
            <v>19804329.511389002</v>
          </cell>
        </row>
        <row r="288">
          <cell r="C288">
            <v>1117111</v>
          </cell>
          <cell r="D288">
            <v>2</v>
          </cell>
          <cell r="H288">
            <v>13401212.870999999</v>
          </cell>
        </row>
        <row r="289">
          <cell r="C289">
            <v>1117111</v>
          </cell>
          <cell r="D289">
            <v>3</v>
          </cell>
          <cell r="H289">
            <v>-0.38000000000465661</v>
          </cell>
        </row>
        <row r="290">
          <cell r="C290">
            <v>1117111</v>
          </cell>
          <cell r="D290">
            <v>4</v>
          </cell>
          <cell r="H290">
            <v>254979.29399999982</v>
          </cell>
        </row>
        <row r="291">
          <cell r="C291">
            <v>1117111</v>
          </cell>
          <cell r="D291">
            <v>5</v>
          </cell>
          <cell r="H291">
            <v>0</v>
          </cell>
        </row>
        <row r="292">
          <cell r="C292">
            <v>1117111</v>
          </cell>
          <cell r="D292">
            <v>7</v>
          </cell>
          <cell r="H292">
            <v>0</v>
          </cell>
        </row>
        <row r="293">
          <cell r="C293">
            <v>1117111</v>
          </cell>
          <cell r="D293">
            <v>9</v>
          </cell>
          <cell r="H293">
            <v>2999999.9999999991</v>
          </cell>
        </row>
        <row r="294">
          <cell r="C294" t="str">
            <v>SECTION</v>
          </cell>
          <cell r="D294">
            <v>1117112</v>
          </cell>
          <cell r="H294">
            <v>142985142.31400004</v>
          </cell>
        </row>
        <row r="295">
          <cell r="C295">
            <v>1117112</v>
          </cell>
          <cell r="D295">
            <v>1</v>
          </cell>
          <cell r="H295">
            <v>94634491.330000013</v>
          </cell>
        </row>
        <row r="296">
          <cell r="C296">
            <v>1117112</v>
          </cell>
          <cell r="D296">
            <v>2</v>
          </cell>
          <cell r="H296">
            <v>10672799.848999999</v>
          </cell>
        </row>
        <row r="297">
          <cell r="C297">
            <v>1117112</v>
          </cell>
          <cell r="D297">
            <v>3</v>
          </cell>
          <cell r="H297">
            <v>12602730.321000002</v>
          </cell>
        </row>
        <row r="298">
          <cell r="C298">
            <v>1117112</v>
          </cell>
          <cell r="D298">
            <v>4</v>
          </cell>
          <cell r="H298">
            <v>5074947.7139999997</v>
          </cell>
        </row>
        <row r="299">
          <cell r="C299">
            <v>1117112</v>
          </cell>
          <cell r="D299">
            <v>5</v>
          </cell>
          <cell r="H299">
            <v>0</v>
          </cell>
        </row>
        <row r="300">
          <cell r="C300">
            <v>1117112</v>
          </cell>
          <cell r="D300">
            <v>7</v>
          </cell>
          <cell r="H300">
            <v>1000000</v>
          </cell>
        </row>
        <row r="301">
          <cell r="C301">
            <v>1117112</v>
          </cell>
          <cell r="D301">
            <v>9</v>
          </cell>
          <cell r="H301">
            <v>19000173.100000001</v>
          </cell>
        </row>
        <row r="302">
          <cell r="C302" t="str">
            <v>SECTION</v>
          </cell>
          <cell r="D302">
            <v>1117113</v>
          </cell>
          <cell r="H302">
            <v>30391127.280000001</v>
          </cell>
        </row>
        <row r="303">
          <cell r="C303">
            <v>1117113</v>
          </cell>
          <cell r="D303">
            <v>1</v>
          </cell>
          <cell r="H303">
            <v>20391131.280000001</v>
          </cell>
        </row>
        <row r="304">
          <cell r="C304">
            <v>1117113</v>
          </cell>
          <cell r="D304">
            <v>2</v>
          </cell>
          <cell r="H304">
            <v>9999996</v>
          </cell>
        </row>
        <row r="305">
          <cell r="C305">
            <v>1117113</v>
          </cell>
          <cell r="D305">
            <v>9</v>
          </cell>
          <cell r="H305">
            <v>0</v>
          </cell>
        </row>
        <row r="306">
          <cell r="C306" t="str">
            <v>SECTEUR</v>
          </cell>
          <cell r="D306">
            <v>12</v>
          </cell>
          <cell r="H306">
            <v>19558505566.131092</v>
          </cell>
        </row>
        <row r="307">
          <cell r="C307" t="str">
            <v>MIN</v>
          </cell>
          <cell r="D307">
            <v>1211</v>
          </cell>
          <cell r="H307">
            <v>11231634902.492001</v>
          </cell>
        </row>
        <row r="308">
          <cell r="C308" t="str">
            <v>chap</v>
          </cell>
          <cell r="D308">
            <v>12111</v>
          </cell>
          <cell r="H308">
            <v>1830890228.9819996</v>
          </cell>
        </row>
        <row r="309">
          <cell r="C309" t="str">
            <v>SECTION</v>
          </cell>
          <cell r="D309">
            <v>1211111</v>
          </cell>
          <cell r="H309">
            <v>42573367.747999996</v>
          </cell>
        </row>
        <row r="310">
          <cell r="C310">
            <v>1211111</v>
          </cell>
          <cell r="D310">
            <v>1</v>
          </cell>
          <cell r="H310">
            <v>21131924.259999994</v>
          </cell>
        </row>
        <row r="311">
          <cell r="C311">
            <v>1211111</v>
          </cell>
          <cell r="D311">
            <v>2</v>
          </cell>
          <cell r="H311">
            <v>4171368.0239999997</v>
          </cell>
        </row>
        <row r="312">
          <cell r="C312">
            <v>1211111</v>
          </cell>
          <cell r="D312">
            <v>3</v>
          </cell>
          <cell r="H312">
            <v>2116800</v>
          </cell>
        </row>
        <row r="313">
          <cell r="C313">
            <v>1211111</v>
          </cell>
          <cell r="D313">
            <v>4</v>
          </cell>
          <cell r="H313">
            <v>2403331.764</v>
          </cell>
        </row>
        <row r="314">
          <cell r="C314">
            <v>1211111</v>
          </cell>
          <cell r="D314">
            <v>5</v>
          </cell>
          <cell r="H314">
            <v>0</v>
          </cell>
        </row>
        <row r="315">
          <cell r="C315">
            <v>1211111</v>
          </cell>
          <cell r="D315">
            <v>7</v>
          </cell>
          <cell r="H315">
            <v>0</v>
          </cell>
        </row>
        <row r="316">
          <cell r="C316">
            <v>1211111</v>
          </cell>
          <cell r="D316">
            <v>9</v>
          </cell>
          <cell r="H316">
            <v>12749943.699999999</v>
          </cell>
        </row>
        <row r="317">
          <cell r="C317" t="str">
            <v>SECTION</v>
          </cell>
          <cell r="D317">
            <v>1211112</v>
          </cell>
          <cell r="H317">
            <v>1464211188.0739999</v>
          </cell>
        </row>
        <row r="318">
          <cell r="C318">
            <v>1211112</v>
          </cell>
          <cell r="D318">
            <v>1</v>
          </cell>
          <cell r="H318">
            <v>1136859345.3299999</v>
          </cell>
        </row>
        <row r="319">
          <cell r="C319">
            <v>1211112</v>
          </cell>
          <cell r="D319">
            <v>2</v>
          </cell>
          <cell r="H319">
            <v>80712308.032000005</v>
          </cell>
        </row>
        <row r="320">
          <cell r="C320">
            <v>1211112</v>
          </cell>
          <cell r="D320">
            <v>3</v>
          </cell>
          <cell r="H320">
            <v>84095103.541999996</v>
          </cell>
        </row>
        <row r="321">
          <cell r="C321">
            <v>1211112</v>
          </cell>
          <cell r="D321">
            <v>4</v>
          </cell>
          <cell r="H321">
            <v>34260060.559999995</v>
          </cell>
        </row>
        <row r="322">
          <cell r="C322">
            <v>1211112</v>
          </cell>
          <cell r="D322">
            <v>5</v>
          </cell>
          <cell r="H322">
            <v>0</v>
          </cell>
        </row>
        <row r="323">
          <cell r="C323">
            <v>1211112</v>
          </cell>
          <cell r="D323">
            <v>7</v>
          </cell>
          <cell r="H323">
            <v>5000000</v>
          </cell>
        </row>
        <row r="324">
          <cell r="C324">
            <v>1211112</v>
          </cell>
          <cell r="D324">
            <v>9</v>
          </cell>
          <cell r="H324">
            <v>123284370.61</v>
          </cell>
        </row>
        <row r="325">
          <cell r="C325" t="str">
            <v>SECTION</v>
          </cell>
          <cell r="D325">
            <v>1211117</v>
          </cell>
          <cell r="H325">
            <v>54209420.780000001</v>
          </cell>
        </row>
        <row r="326">
          <cell r="C326">
            <v>1211117</v>
          </cell>
          <cell r="D326">
            <v>1</v>
          </cell>
          <cell r="H326">
            <v>42500007.649999999</v>
          </cell>
        </row>
        <row r="327">
          <cell r="C327">
            <v>1211117</v>
          </cell>
          <cell r="D327">
            <v>2</v>
          </cell>
          <cell r="H327">
            <v>11709413.130000001</v>
          </cell>
        </row>
        <row r="328">
          <cell r="C328">
            <v>1211117</v>
          </cell>
          <cell r="D328">
            <v>7</v>
          </cell>
          <cell r="H328">
            <v>0</v>
          </cell>
        </row>
        <row r="329">
          <cell r="C329" t="str">
            <v>SECTION</v>
          </cell>
          <cell r="D329">
            <v>1211118</v>
          </cell>
          <cell r="H329">
            <v>68796257.304000005</v>
          </cell>
        </row>
        <row r="330">
          <cell r="C330">
            <v>1211118</v>
          </cell>
          <cell r="D330">
            <v>1</v>
          </cell>
          <cell r="H330">
            <v>25214402.039999999</v>
          </cell>
        </row>
        <row r="331">
          <cell r="C331">
            <v>1211118</v>
          </cell>
          <cell r="D331">
            <v>9</v>
          </cell>
          <cell r="H331">
            <v>43581855.264000006</v>
          </cell>
        </row>
        <row r="332">
          <cell r="C332" t="str">
            <v>SECTION</v>
          </cell>
          <cell r="D332">
            <v>1211119</v>
          </cell>
          <cell r="H332">
            <v>166099995.13999999</v>
          </cell>
        </row>
        <row r="333">
          <cell r="C333">
            <v>1211119</v>
          </cell>
          <cell r="D333">
            <v>1</v>
          </cell>
          <cell r="H333">
            <v>126195116.03999999</v>
          </cell>
        </row>
        <row r="334">
          <cell r="C334">
            <v>1211119</v>
          </cell>
          <cell r="D334">
            <v>2</v>
          </cell>
          <cell r="H334">
            <v>39904879.100000001</v>
          </cell>
        </row>
        <row r="335">
          <cell r="C335">
            <v>1211119</v>
          </cell>
          <cell r="D335">
            <v>7</v>
          </cell>
          <cell r="H335">
            <v>0</v>
          </cell>
        </row>
        <row r="336">
          <cell r="C336" t="str">
            <v>SECTION</v>
          </cell>
          <cell r="D336">
            <v>1211120</v>
          </cell>
          <cell r="H336">
            <v>0</v>
          </cell>
        </row>
        <row r="337">
          <cell r="C337">
            <v>1211120</v>
          </cell>
          <cell r="D337">
            <v>9</v>
          </cell>
          <cell r="H337">
            <v>0</v>
          </cell>
        </row>
        <row r="338">
          <cell r="C338" t="str">
            <v>SECTION</v>
          </cell>
          <cell r="D338">
            <v>1211121</v>
          </cell>
          <cell r="H338">
            <v>34999999.935999997</v>
          </cell>
        </row>
        <row r="339">
          <cell r="C339">
            <v>1211121</v>
          </cell>
          <cell r="D339">
            <v>1</v>
          </cell>
          <cell r="H339">
            <v>19416102.999999996</v>
          </cell>
        </row>
        <row r="340">
          <cell r="C340">
            <v>1211121</v>
          </cell>
          <cell r="D340">
            <v>2</v>
          </cell>
          <cell r="H340">
            <v>15583896.936000001</v>
          </cell>
        </row>
        <row r="341">
          <cell r="C341">
            <v>1211121</v>
          </cell>
          <cell r="D341">
            <v>3</v>
          </cell>
          <cell r="H341">
            <v>0</v>
          </cell>
        </row>
        <row r="342">
          <cell r="C342">
            <v>1211121</v>
          </cell>
          <cell r="D342">
            <v>4</v>
          </cell>
          <cell r="H342">
            <v>0</v>
          </cell>
        </row>
        <row r="343">
          <cell r="C343">
            <v>1211121</v>
          </cell>
          <cell r="D343">
            <v>5</v>
          </cell>
          <cell r="H343">
            <v>0</v>
          </cell>
        </row>
        <row r="344">
          <cell r="C344">
            <v>1211121</v>
          </cell>
          <cell r="D344">
            <v>7</v>
          </cell>
          <cell r="H344">
            <v>0</v>
          </cell>
        </row>
        <row r="345">
          <cell r="C345">
            <v>1211121</v>
          </cell>
          <cell r="D345">
            <v>9</v>
          </cell>
          <cell r="H345">
            <v>0</v>
          </cell>
        </row>
        <row r="346">
          <cell r="C346" t="str">
            <v>chap</v>
          </cell>
          <cell r="D346">
            <v>12112</v>
          </cell>
          <cell r="H346">
            <v>9400744673.5100002</v>
          </cell>
        </row>
        <row r="347">
          <cell r="C347" t="str">
            <v>SECTION</v>
          </cell>
          <cell r="D347">
            <v>1211216</v>
          </cell>
          <cell r="H347">
            <v>9400744673.5100002</v>
          </cell>
        </row>
        <row r="348">
          <cell r="C348">
            <v>1211216</v>
          </cell>
          <cell r="D348">
            <v>1</v>
          </cell>
          <cell r="H348">
            <v>7434084917.2999992</v>
          </cell>
        </row>
        <row r="349">
          <cell r="C349">
            <v>1211216</v>
          </cell>
          <cell r="D349">
            <v>2</v>
          </cell>
          <cell r="H349">
            <v>113995064.08000001</v>
          </cell>
        </row>
        <row r="350">
          <cell r="C350">
            <v>1211216</v>
          </cell>
          <cell r="D350">
            <v>3</v>
          </cell>
          <cell r="H350">
            <v>1475368241.21</v>
          </cell>
        </row>
        <row r="351">
          <cell r="C351">
            <v>1211216</v>
          </cell>
          <cell r="D351">
            <v>4</v>
          </cell>
          <cell r="H351">
            <v>31999999.079999998</v>
          </cell>
        </row>
        <row r="352">
          <cell r="C352">
            <v>1211216</v>
          </cell>
          <cell r="D352">
            <v>5</v>
          </cell>
          <cell r="H352">
            <v>0</v>
          </cell>
        </row>
        <row r="353">
          <cell r="C353">
            <v>1211216</v>
          </cell>
          <cell r="D353">
            <v>7</v>
          </cell>
          <cell r="H353">
            <v>35296451.920000002</v>
          </cell>
        </row>
        <row r="354">
          <cell r="C354">
            <v>1211216</v>
          </cell>
          <cell r="D354">
            <v>9</v>
          </cell>
          <cell r="H354">
            <v>309999999.91999996</v>
          </cell>
        </row>
        <row r="355">
          <cell r="C355" t="str">
            <v>MIN</v>
          </cell>
          <cell r="D355">
            <v>1212</v>
          </cell>
          <cell r="H355">
            <v>109999943.95500001</v>
          </cell>
        </row>
        <row r="356">
          <cell r="C356" t="str">
            <v>chap</v>
          </cell>
          <cell r="D356">
            <v>12121</v>
          </cell>
          <cell r="H356">
            <v>109999943.95500001</v>
          </cell>
        </row>
        <row r="357">
          <cell r="C357" t="str">
            <v>SECTION</v>
          </cell>
          <cell r="D357">
            <v>1212111</v>
          </cell>
          <cell r="H357">
            <v>37799735.281999998</v>
          </cell>
        </row>
        <row r="358">
          <cell r="C358">
            <v>1212111</v>
          </cell>
          <cell r="D358">
            <v>1</v>
          </cell>
          <cell r="H358">
            <v>20526400.119999997</v>
          </cell>
        </row>
        <row r="359">
          <cell r="C359">
            <v>1212111</v>
          </cell>
          <cell r="D359">
            <v>2</v>
          </cell>
          <cell r="H359">
            <v>10336361.539999999</v>
          </cell>
        </row>
        <row r="360">
          <cell r="C360">
            <v>1212111</v>
          </cell>
          <cell r="D360">
            <v>3</v>
          </cell>
          <cell r="H360">
            <v>1999999.5</v>
          </cell>
        </row>
        <row r="361">
          <cell r="C361">
            <v>1212111</v>
          </cell>
          <cell r="D361">
            <v>4</v>
          </cell>
          <cell r="H361">
            <v>3379447.92</v>
          </cell>
        </row>
        <row r="362">
          <cell r="C362">
            <v>1212111</v>
          </cell>
          <cell r="D362">
            <v>5</v>
          </cell>
          <cell r="H362">
            <v>100000</v>
          </cell>
        </row>
        <row r="363">
          <cell r="C363">
            <v>1212111</v>
          </cell>
          <cell r="D363">
            <v>7</v>
          </cell>
          <cell r="H363">
            <v>0</v>
          </cell>
        </row>
        <row r="364">
          <cell r="C364">
            <v>1212111</v>
          </cell>
          <cell r="D364">
            <v>9</v>
          </cell>
          <cell r="H364">
            <v>1457526.2019999996</v>
          </cell>
        </row>
        <row r="365">
          <cell r="C365" t="str">
            <v>SECTION</v>
          </cell>
          <cell r="D365">
            <v>1212112</v>
          </cell>
          <cell r="H365">
            <v>72200208.673000008</v>
          </cell>
        </row>
        <row r="366">
          <cell r="C366">
            <v>1212112</v>
          </cell>
          <cell r="D366">
            <v>1</v>
          </cell>
          <cell r="H366">
            <v>54653426.439999998</v>
          </cell>
        </row>
        <row r="367">
          <cell r="C367">
            <v>1212112</v>
          </cell>
          <cell r="D367">
            <v>2</v>
          </cell>
          <cell r="H367">
            <v>5081773.8730000015</v>
          </cell>
        </row>
        <row r="368">
          <cell r="C368">
            <v>1212112</v>
          </cell>
          <cell r="D368">
            <v>3</v>
          </cell>
          <cell r="H368">
            <v>4965064.41</v>
          </cell>
        </row>
        <row r="369">
          <cell r="C369">
            <v>1212112</v>
          </cell>
          <cell r="D369">
            <v>4</v>
          </cell>
          <cell r="H369">
            <v>7499943.8380000005</v>
          </cell>
        </row>
        <row r="370">
          <cell r="C370">
            <v>1212112</v>
          </cell>
          <cell r="D370">
            <v>5</v>
          </cell>
          <cell r="H370">
            <v>0</v>
          </cell>
        </row>
        <row r="371">
          <cell r="C371">
            <v>1212112</v>
          </cell>
          <cell r="D371">
            <v>7</v>
          </cell>
          <cell r="H371">
            <v>0</v>
          </cell>
        </row>
        <row r="372">
          <cell r="C372">
            <v>1212112</v>
          </cell>
          <cell r="D372">
            <v>9</v>
          </cell>
          <cell r="H372">
            <v>0.11200000089593232</v>
          </cell>
        </row>
        <row r="373">
          <cell r="C373" t="str">
            <v>MIN</v>
          </cell>
          <cell r="D373">
            <v>1213</v>
          </cell>
          <cell r="H373">
            <v>2550076022.4960961</v>
          </cell>
        </row>
        <row r="374">
          <cell r="C374" t="str">
            <v>chap</v>
          </cell>
          <cell r="D374">
            <v>12131</v>
          </cell>
          <cell r="H374">
            <v>2550076022.4960961</v>
          </cell>
        </row>
        <row r="375">
          <cell r="C375" t="str">
            <v>SECTION</v>
          </cell>
          <cell r="D375">
            <v>1213111</v>
          </cell>
          <cell r="H375">
            <v>124994880.3761</v>
          </cell>
        </row>
        <row r="376">
          <cell r="C376">
            <v>1213111</v>
          </cell>
          <cell r="D376">
            <v>1</v>
          </cell>
          <cell r="H376">
            <v>113832266.27000001</v>
          </cell>
        </row>
        <row r="377">
          <cell r="C377">
            <v>1213111</v>
          </cell>
          <cell r="D377">
            <v>2</v>
          </cell>
          <cell r="H377">
            <v>11162614.1061</v>
          </cell>
        </row>
        <row r="378">
          <cell r="C378">
            <v>1213111</v>
          </cell>
          <cell r="D378">
            <v>3</v>
          </cell>
          <cell r="H378">
            <v>0</v>
          </cell>
        </row>
        <row r="379">
          <cell r="C379">
            <v>1213111</v>
          </cell>
          <cell r="D379">
            <v>4</v>
          </cell>
          <cell r="H379">
            <v>0</v>
          </cell>
        </row>
        <row r="380">
          <cell r="C380">
            <v>1213111</v>
          </cell>
          <cell r="D380">
            <v>5</v>
          </cell>
          <cell r="H380">
            <v>0</v>
          </cell>
        </row>
        <row r="381">
          <cell r="C381">
            <v>1213111</v>
          </cell>
          <cell r="D381">
            <v>7</v>
          </cell>
          <cell r="H381">
            <v>0</v>
          </cell>
        </row>
        <row r="382">
          <cell r="C382">
            <v>1213111</v>
          </cell>
          <cell r="D382">
            <v>9</v>
          </cell>
          <cell r="H382">
            <v>0</v>
          </cell>
        </row>
        <row r="383">
          <cell r="C383" t="str">
            <v>SECTION</v>
          </cell>
          <cell r="D383">
            <v>1213112</v>
          </cell>
          <cell r="H383">
            <v>2425081142.1199961</v>
          </cell>
        </row>
        <row r="384">
          <cell r="C384">
            <v>1213112</v>
          </cell>
          <cell r="D384">
            <v>1</v>
          </cell>
          <cell r="H384">
            <v>231348149.57999599</v>
          </cell>
        </row>
        <row r="385">
          <cell r="C385">
            <v>1213112</v>
          </cell>
          <cell r="D385">
            <v>2</v>
          </cell>
          <cell r="H385">
            <v>56100928.930000015</v>
          </cell>
        </row>
        <row r="386">
          <cell r="C386">
            <v>1213112</v>
          </cell>
          <cell r="D386">
            <v>3</v>
          </cell>
          <cell r="H386">
            <v>28925867.980000004</v>
          </cell>
        </row>
        <row r="387">
          <cell r="C387">
            <v>1213112</v>
          </cell>
          <cell r="D387">
            <v>4</v>
          </cell>
          <cell r="H387">
            <v>13178753.820000004</v>
          </cell>
        </row>
        <row r="388">
          <cell r="C388">
            <v>1213112</v>
          </cell>
          <cell r="D388">
            <v>5</v>
          </cell>
          <cell r="H388">
            <v>100000</v>
          </cell>
        </row>
        <row r="389">
          <cell r="C389">
            <v>1213112</v>
          </cell>
          <cell r="D389">
            <v>7</v>
          </cell>
          <cell r="H389">
            <v>0</v>
          </cell>
        </row>
        <row r="390">
          <cell r="C390">
            <v>1213112</v>
          </cell>
          <cell r="D390">
            <v>9</v>
          </cell>
          <cell r="H390">
            <v>2095427441.8100002</v>
          </cell>
        </row>
        <row r="391">
          <cell r="C391" t="str">
            <v>MIN</v>
          </cell>
          <cell r="D391">
            <v>1214</v>
          </cell>
          <cell r="H391">
            <v>1613170854.4899998</v>
          </cell>
        </row>
        <row r="392">
          <cell r="C392" t="str">
            <v>chap</v>
          </cell>
          <cell r="D392">
            <v>12141</v>
          </cell>
          <cell r="H392">
            <v>1613170854.4899998</v>
          </cell>
        </row>
        <row r="393">
          <cell r="C393" t="str">
            <v>SECTION</v>
          </cell>
          <cell r="D393">
            <v>1214111</v>
          </cell>
          <cell r="H393">
            <v>297265159.27999997</v>
          </cell>
        </row>
        <row r="394">
          <cell r="C394">
            <v>1214111</v>
          </cell>
          <cell r="D394">
            <v>1</v>
          </cell>
          <cell r="H394">
            <v>124234983.27999997</v>
          </cell>
        </row>
        <row r="395">
          <cell r="C395">
            <v>1214111</v>
          </cell>
          <cell r="D395">
            <v>2</v>
          </cell>
          <cell r="H395">
            <v>0</v>
          </cell>
        </row>
        <row r="396">
          <cell r="C396">
            <v>1214111</v>
          </cell>
          <cell r="D396">
            <v>3</v>
          </cell>
          <cell r="H396">
            <v>0</v>
          </cell>
        </row>
        <row r="397">
          <cell r="C397">
            <v>1214111</v>
          </cell>
          <cell r="D397">
            <v>4</v>
          </cell>
          <cell r="H397">
            <v>14030176</v>
          </cell>
        </row>
        <row r="398">
          <cell r="C398">
            <v>1214111</v>
          </cell>
          <cell r="D398">
            <v>5</v>
          </cell>
          <cell r="H398">
            <v>0</v>
          </cell>
        </row>
        <row r="399">
          <cell r="C399">
            <v>1214111</v>
          </cell>
          <cell r="D399">
            <v>7</v>
          </cell>
          <cell r="H399">
            <v>0</v>
          </cell>
        </row>
        <row r="400">
          <cell r="C400">
            <v>1214111</v>
          </cell>
          <cell r="D400">
            <v>9</v>
          </cell>
          <cell r="H400">
            <v>159000000</v>
          </cell>
        </row>
        <row r="401">
          <cell r="C401" t="str">
            <v>SECTION</v>
          </cell>
          <cell r="D401">
            <v>1214112</v>
          </cell>
          <cell r="H401">
            <v>531342957.13</v>
          </cell>
        </row>
        <row r="402">
          <cell r="C402">
            <v>1214112</v>
          </cell>
          <cell r="D402">
            <v>1</v>
          </cell>
          <cell r="H402">
            <v>136259481.35999998</v>
          </cell>
        </row>
        <row r="403">
          <cell r="C403">
            <v>1214112</v>
          </cell>
          <cell r="D403">
            <v>2</v>
          </cell>
          <cell r="H403">
            <v>190842572.53000003</v>
          </cell>
        </row>
        <row r="404">
          <cell r="C404">
            <v>1214112</v>
          </cell>
          <cell r="D404">
            <v>3</v>
          </cell>
          <cell r="H404">
            <v>100800017.25</v>
          </cell>
        </row>
        <row r="405">
          <cell r="C405">
            <v>1214112</v>
          </cell>
          <cell r="D405">
            <v>4</v>
          </cell>
          <cell r="H405">
            <v>14424448.010000002</v>
          </cell>
        </row>
        <row r="406">
          <cell r="C406">
            <v>1214112</v>
          </cell>
          <cell r="D406">
            <v>5</v>
          </cell>
          <cell r="H406">
            <v>1000000</v>
          </cell>
        </row>
        <row r="407">
          <cell r="C407">
            <v>1214112</v>
          </cell>
          <cell r="D407">
            <v>7</v>
          </cell>
          <cell r="H407">
            <v>2000054</v>
          </cell>
        </row>
        <row r="408">
          <cell r="C408">
            <v>1214112</v>
          </cell>
          <cell r="D408">
            <v>9</v>
          </cell>
          <cell r="H408">
            <v>86016383.979999989</v>
          </cell>
        </row>
        <row r="409">
          <cell r="C409" t="str">
            <v>SECTION</v>
          </cell>
          <cell r="D409">
            <v>1214113</v>
          </cell>
          <cell r="H409">
            <v>662962738.07999992</v>
          </cell>
        </row>
        <row r="410">
          <cell r="C410">
            <v>1214113</v>
          </cell>
          <cell r="D410">
            <v>1</v>
          </cell>
          <cell r="H410">
            <v>335474898.35999995</v>
          </cell>
        </row>
        <row r="411">
          <cell r="C411">
            <v>1214113</v>
          </cell>
          <cell r="D411">
            <v>2</v>
          </cell>
          <cell r="H411">
            <v>0</v>
          </cell>
        </row>
        <row r="412">
          <cell r="C412">
            <v>1214113</v>
          </cell>
          <cell r="D412">
            <v>3</v>
          </cell>
          <cell r="H412">
            <v>181327865.23999998</v>
          </cell>
        </row>
        <row r="413">
          <cell r="C413">
            <v>1214113</v>
          </cell>
          <cell r="D413">
            <v>4</v>
          </cell>
          <cell r="H413">
            <v>0</v>
          </cell>
        </row>
        <row r="414">
          <cell r="C414">
            <v>1214113</v>
          </cell>
          <cell r="D414">
            <v>5</v>
          </cell>
          <cell r="H414">
            <v>0</v>
          </cell>
        </row>
        <row r="415">
          <cell r="C415">
            <v>1214113</v>
          </cell>
          <cell r="D415">
            <v>7</v>
          </cell>
          <cell r="H415">
            <v>2159793.9999999991</v>
          </cell>
        </row>
        <row r="416">
          <cell r="C416">
            <v>1214113</v>
          </cell>
          <cell r="D416">
            <v>9</v>
          </cell>
          <cell r="H416">
            <v>144000180.47999999</v>
          </cell>
        </row>
        <row r="417">
          <cell r="C417" t="str">
            <v>SECTION</v>
          </cell>
          <cell r="D417">
            <v>1214114</v>
          </cell>
          <cell r="H417">
            <v>121599999.99999999</v>
          </cell>
        </row>
        <row r="418">
          <cell r="C418">
            <v>1214114</v>
          </cell>
          <cell r="D418">
            <v>9</v>
          </cell>
          <cell r="H418">
            <v>121599999.99999999</v>
          </cell>
        </row>
        <row r="419">
          <cell r="C419" t="str">
            <v>MIN</v>
          </cell>
          <cell r="D419">
            <v>1215</v>
          </cell>
          <cell r="H419">
            <v>1798328186.2989998</v>
          </cell>
        </row>
        <row r="420">
          <cell r="C420" t="str">
            <v>chap</v>
          </cell>
          <cell r="D420">
            <v>12151</v>
          </cell>
          <cell r="H420">
            <v>1736392706.8609998</v>
          </cell>
        </row>
        <row r="421">
          <cell r="C421" t="str">
            <v>SECTION</v>
          </cell>
          <cell r="D421">
            <v>1215111</v>
          </cell>
          <cell r="H421">
            <v>387001560.75999993</v>
          </cell>
        </row>
        <row r="422">
          <cell r="C422">
            <v>1215111</v>
          </cell>
          <cell r="D422">
            <v>1</v>
          </cell>
          <cell r="H422">
            <v>323518263.29999995</v>
          </cell>
        </row>
        <row r="423">
          <cell r="C423">
            <v>1215111</v>
          </cell>
          <cell r="D423">
            <v>2</v>
          </cell>
          <cell r="H423">
            <v>20962835.699999999</v>
          </cell>
        </row>
        <row r="424">
          <cell r="C424">
            <v>1215111</v>
          </cell>
          <cell r="D424">
            <v>3</v>
          </cell>
          <cell r="H424">
            <v>33229241.519999996</v>
          </cell>
        </row>
        <row r="425">
          <cell r="C425">
            <v>1215111</v>
          </cell>
          <cell r="D425">
            <v>4</v>
          </cell>
          <cell r="H425">
            <v>9291220.2399999965</v>
          </cell>
        </row>
        <row r="426">
          <cell r="C426">
            <v>1215111</v>
          </cell>
          <cell r="D426">
            <v>5</v>
          </cell>
          <cell r="H426">
            <v>0</v>
          </cell>
        </row>
        <row r="427">
          <cell r="C427">
            <v>1215111</v>
          </cell>
          <cell r="D427">
            <v>7</v>
          </cell>
          <cell r="H427">
            <v>0</v>
          </cell>
        </row>
        <row r="428">
          <cell r="C428">
            <v>1215111</v>
          </cell>
          <cell r="D428">
            <v>9</v>
          </cell>
          <cell r="H428">
            <v>0</v>
          </cell>
        </row>
        <row r="429">
          <cell r="C429" t="str">
            <v>SECTION</v>
          </cell>
          <cell r="D429">
            <v>1215112</v>
          </cell>
          <cell r="H429">
            <v>934843869.16100001</v>
          </cell>
        </row>
        <row r="430">
          <cell r="C430">
            <v>1215112</v>
          </cell>
          <cell r="D430">
            <v>1</v>
          </cell>
          <cell r="H430">
            <v>145086209.64000002</v>
          </cell>
        </row>
        <row r="431">
          <cell r="C431">
            <v>1215112</v>
          </cell>
          <cell r="D431">
            <v>2</v>
          </cell>
          <cell r="H431">
            <v>166482173.34500003</v>
          </cell>
        </row>
        <row r="432">
          <cell r="C432">
            <v>1215112</v>
          </cell>
          <cell r="D432">
            <v>3</v>
          </cell>
          <cell r="H432">
            <v>57505388.526000001</v>
          </cell>
        </row>
        <row r="433">
          <cell r="C433">
            <v>1215112</v>
          </cell>
          <cell r="D433">
            <v>4</v>
          </cell>
          <cell r="H433">
            <v>26908991.676999997</v>
          </cell>
        </row>
        <row r="434">
          <cell r="C434">
            <v>1215112</v>
          </cell>
          <cell r="D434">
            <v>5</v>
          </cell>
          <cell r="H434">
            <v>0</v>
          </cell>
        </row>
        <row r="435">
          <cell r="C435">
            <v>1215112</v>
          </cell>
          <cell r="D435">
            <v>7</v>
          </cell>
          <cell r="H435">
            <v>50416631.866999999</v>
          </cell>
        </row>
        <row r="436">
          <cell r="C436">
            <v>1215112</v>
          </cell>
          <cell r="D436">
            <v>9</v>
          </cell>
          <cell r="H436">
            <v>488444474.10599995</v>
          </cell>
        </row>
        <row r="437">
          <cell r="C437" t="str">
            <v>SECTION</v>
          </cell>
          <cell r="D437">
            <v>1215113</v>
          </cell>
          <cell r="H437">
            <v>52028538.881999999</v>
          </cell>
        </row>
        <row r="438">
          <cell r="C438">
            <v>1215113</v>
          </cell>
          <cell r="D438">
            <v>9</v>
          </cell>
          <cell r="H438">
            <v>52028538.881999999</v>
          </cell>
        </row>
        <row r="439">
          <cell r="C439" t="str">
            <v>SECTION</v>
          </cell>
          <cell r="D439">
            <v>1215116</v>
          </cell>
          <cell r="H439">
            <v>44000000.460000008</v>
          </cell>
        </row>
        <row r="440">
          <cell r="C440">
            <v>1215116</v>
          </cell>
          <cell r="D440">
            <v>1</v>
          </cell>
          <cell r="H440">
            <v>31000000.460000005</v>
          </cell>
        </row>
        <row r="441">
          <cell r="C441">
            <v>1215116</v>
          </cell>
          <cell r="D441">
            <v>2</v>
          </cell>
          <cell r="H441">
            <v>13000000</v>
          </cell>
        </row>
        <row r="442">
          <cell r="C442">
            <v>1215116</v>
          </cell>
          <cell r="D442">
            <v>7</v>
          </cell>
          <cell r="H442">
            <v>0</v>
          </cell>
        </row>
        <row r="443">
          <cell r="C443" t="str">
            <v>SECTION</v>
          </cell>
          <cell r="D443">
            <v>1215117</v>
          </cell>
          <cell r="H443">
            <v>40551292.956</v>
          </cell>
        </row>
        <row r="444">
          <cell r="C444">
            <v>1215117</v>
          </cell>
          <cell r="D444">
            <v>1</v>
          </cell>
          <cell r="H444">
            <v>30699999.920000002</v>
          </cell>
        </row>
        <row r="445">
          <cell r="C445">
            <v>1215117</v>
          </cell>
          <cell r="D445">
            <v>2</v>
          </cell>
          <cell r="H445">
            <v>9851293.0359999985</v>
          </cell>
        </row>
        <row r="446">
          <cell r="C446">
            <v>1215117</v>
          </cell>
          <cell r="D446">
            <v>7</v>
          </cell>
          <cell r="H446">
            <v>0</v>
          </cell>
        </row>
        <row r="447">
          <cell r="C447" t="str">
            <v>SECTION</v>
          </cell>
          <cell r="D447">
            <v>1215118</v>
          </cell>
          <cell r="H447">
            <v>63053965</v>
          </cell>
        </row>
        <row r="448">
          <cell r="C448">
            <v>1215118</v>
          </cell>
          <cell r="D448">
            <v>1</v>
          </cell>
          <cell r="H448">
            <v>43467336</v>
          </cell>
        </row>
        <row r="449">
          <cell r="C449">
            <v>1215118</v>
          </cell>
          <cell r="D449">
            <v>2</v>
          </cell>
          <cell r="H449">
            <v>19586629</v>
          </cell>
        </row>
        <row r="450">
          <cell r="C450">
            <v>1215118</v>
          </cell>
          <cell r="D450">
            <v>7</v>
          </cell>
          <cell r="H450">
            <v>0</v>
          </cell>
        </row>
        <row r="451">
          <cell r="C451" t="str">
            <v>SECTION</v>
          </cell>
          <cell r="D451">
            <v>1215119</v>
          </cell>
          <cell r="H451">
            <v>115481769.03799999</v>
          </cell>
        </row>
        <row r="452">
          <cell r="C452">
            <v>1215119</v>
          </cell>
          <cell r="D452">
            <v>1</v>
          </cell>
          <cell r="H452">
            <v>77481768.999999985</v>
          </cell>
        </row>
        <row r="453">
          <cell r="C453">
            <v>1215119</v>
          </cell>
          <cell r="D453">
            <v>2</v>
          </cell>
          <cell r="H453">
            <v>38000000.038000003</v>
          </cell>
        </row>
        <row r="454">
          <cell r="C454">
            <v>1215119</v>
          </cell>
          <cell r="D454">
            <v>7</v>
          </cell>
          <cell r="H454">
            <v>0</v>
          </cell>
        </row>
        <row r="455">
          <cell r="C455" t="str">
            <v>SECTION</v>
          </cell>
          <cell r="D455">
            <v>1215121</v>
          </cell>
          <cell r="H455">
            <v>52200000</v>
          </cell>
        </row>
        <row r="456">
          <cell r="C456">
            <v>1215121</v>
          </cell>
          <cell r="D456">
            <v>1</v>
          </cell>
          <cell r="H456">
            <v>0</v>
          </cell>
        </row>
        <row r="457">
          <cell r="C457">
            <v>1215121</v>
          </cell>
          <cell r="D457">
            <v>2</v>
          </cell>
          <cell r="H457">
            <v>52200000</v>
          </cell>
        </row>
        <row r="458">
          <cell r="C458">
            <v>1215121</v>
          </cell>
          <cell r="D458">
            <v>7</v>
          </cell>
          <cell r="H458">
            <v>0</v>
          </cell>
        </row>
        <row r="459">
          <cell r="C459" t="str">
            <v>SECTION</v>
          </cell>
          <cell r="D459">
            <v>1215122</v>
          </cell>
          <cell r="H459">
            <v>30000010.039999999</v>
          </cell>
        </row>
        <row r="460">
          <cell r="C460">
            <v>1215122</v>
          </cell>
          <cell r="D460">
            <v>1</v>
          </cell>
          <cell r="H460">
            <v>27000010</v>
          </cell>
        </row>
        <row r="461">
          <cell r="C461">
            <v>1215122</v>
          </cell>
          <cell r="D461">
            <v>2</v>
          </cell>
          <cell r="H461">
            <v>3000000.0399999986</v>
          </cell>
        </row>
        <row r="462">
          <cell r="C462">
            <v>1215122</v>
          </cell>
          <cell r="D462">
            <v>7</v>
          </cell>
          <cell r="H462">
            <v>0</v>
          </cell>
        </row>
        <row r="463">
          <cell r="C463" t="str">
            <v>SECTION</v>
          </cell>
          <cell r="D463">
            <v>1215123</v>
          </cell>
          <cell r="H463">
            <v>17231700.563999999</v>
          </cell>
        </row>
        <row r="464">
          <cell r="C464">
            <v>1215123</v>
          </cell>
          <cell r="D464">
            <v>7</v>
          </cell>
          <cell r="H464">
            <v>17231700.563999999</v>
          </cell>
        </row>
        <row r="465">
          <cell r="C465" t="str">
            <v>chap</v>
          </cell>
          <cell r="D465">
            <v>12152</v>
          </cell>
          <cell r="H465">
            <v>61935479.438000001</v>
          </cell>
        </row>
        <row r="466">
          <cell r="C466" t="str">
            <v>SECTION</v>
          </cell>
          <cell r="D466">
            <v>1215214</v>
          </cell>
          <cell r="H466">
            <v>33870116.438000001</v>
          </cell>
        </row>
        <row r="467">
          <cell r="C467">
            <v>1215214</v>
          </cell>
          <cell r="D467">
            <v>1</v>
          </cell>
          <cell r="H467">
            <v>13977956.08</v>
          </cell>
        </row>
        <row r="468">
          <cell r="C468">
            <v>1215214</v>
          </cell>
          <cell r="D468">
            <v>2</v>
          </cell>
          <cell r="H468">
            <v>19892160.358000003</v>
          </cell>
        </row>
        <row r="469">
          <cell r="C469">
            <v>1215214</v>
          </cell>
          <cell r="D469">
            <v>3</v>
          </cell>
          <cell r="H469">
            <v>0</v>
          </cell>
        </row>
        <row r="470">
          <cell r="C470">
            <v>1215214</v>
          </cell>
          <cell r="D470">
            <v>4</v>
          </cell>
          <cell r="H470">
            <v>0</v>
          </cell>
        </row>
        <row r="471">
          <cell r="C471">
            <v>1215214</v>
          </cell>
          <cell r="D471">
            <v>5</v>
          </cell>
          <cell r="H471">
            <v>0</v>
          </cell>
        </row>
        <row r="472">
          <cell r="C472">
            <v>1215214</v>
          </cell>
          <cell r="D472">
            <v>7</v>
          </cell>
          <cell r="H472">
            <v>0</v>
          </cell>
        </row>
        <row r="473">
          <cell r="C473">
            <v>1215214</v>
          </cell>
          <cell r="D473">
            <v>9</v>
          </cell>
          <cell r="H473">
            <v>0</v>
          </cell>
        </row>
        <row r="474">
          <cell r="C474" t="str">
            <v>SECTION</v>
          </cell>
          <cell r="D474">
            <v>1215220</v>
          </cell>
          <cell r="H474">
            <v>28065363</v>
          </cell>
        </row>
        <row r="475">
          <cell r="C475">
            <v>1215220</v>
          </cell>
          <cell r="D475">
            <v>1</v>
          </cell>
          <cell r="H475">
            <v>18495619.990000002</v>
          </cell>
        </row>
        <row r="476">
          <cell r="C476">
            <v>1215220</v>
          </cell>
          <cell r="D476">
            <v>2</v>
          </cell>
          <cell r="H476">
            <v>9569743.0099999998</v>
          </cell>
        </row>
        <row r="477">
          <cell r="C477">
            <v>1215220</v>
          </cell>
          <cell r="D477">
            <v>7</v>
          </cell>
          <cell r="H477">
            <v>0</v>
          </cell>
        </row>
        <row r="478">
          <cell r="C478" t="str">
            <v>MIN</v>
          </cell>
          <cell r="D478">
            <v>1216</v>
          </cell>
          <cell r="H478">
            <v>1765830671.3489997</v>
          </cell>
        </row>
        <row r="479">
          <cell r="C479" t="str">
            <v>chap</v>
          </cell>
          <cell r="D479">
            <v>12161</v>
          </cell>
          <cell r="H479">
            <v>1765830671.3489997</v>
          </cell>
        </row>
        <row r="480">
          <cell r="C480" t="str">
            <v>SECTION</v>
          </cell>
          <cell r="D480">
            <v>1216111</v>
          </cell>
          <cell r="H480">
            <v>188632314.336</v>
          </cell>
        </row>
        <row r="481">
          <cell r="C481">
            <v>1216111</v>
          </cell>
          <cell r="D481">
            <v>1</v>
          </cell>
          <cell r="H481">
            <v>49258609.779999994</v>
          </cell>
        </row>
        <row r="482">
          <cell r="C482">
            <v>1216111</v>
          </cell>
          <cell r="D482">
            <v>2</v>
          </cell>
          <cell r="H482">
            <v>4566259.88</v>
          </cell>
        </row>
        <row r="483">
          <cell r="C483">
            <v>1216111</v>
          </cell>
          <cell r="D483">
            <v>3</v>
          </cell>
          <cell r="H483">
            <v>4963000.9859999996</v>
          </cell>
        </row>
        <row r="484">
          <cell r="C484">
            <v>1216111</v>
          </cell>
          <cell r="D484">
            <v>4</v>
          </cell>
          <cell r="H484">
            <v>20844459.010000002</v>
          </cell>
        </row>
        <row r="485">
          <cell r="C485">
            <v>1216111</v>
          </cell>
          <cell r="D485">
            <v>5</v>
          </cell>
          <cell r="H485">
            <v>0</v>
          </cell>
        </row>
        <row r="486">
          <cell r="C486">
            <v>1216111</v>
          </cell>
          <cell r="D486">
            <v>7</v>
          </cell>
          <cell r="H486">
            <v>4999984</v>
          </cell>
        </row>
        <row r="487">
          <cell r="C487">
            <v>1216111</v>
          </cell>
          <cell r="D487">
            <v>9</v>
          </cell>
          <cell r="H487">
            <v>104000000.67999999</v>
          </cell>
        </row>
        <row r="488">
          <cell r="C488" t="str">
            <v>SECTION</v>
          </cell>
          <cell r="D488">
            <v>1216112</v>
          </cell>
          <cell r="H488">
            <v>1094104533.7329998</v>
          </cell>
        </row>
        <row r="489">
          <cell r="C489">
            <v>1216112</v>
          </cell>
          <cell r="D489">
            <v>1</v>
          </cell>
          <cell r="H489">
            <v>493183797.43999994</v>
          </cell>
        </row>
        <row r="490">
          <cell r="C490">
            <v>1216112</v>
          </cell>
          <cell r="D490">
            <v>2</v>
          </cell>
          <cell r="H490">
            <v>159442414.64499998</v>
          </cell>
        </row>
        <row r="491">
          <cell r="C491">
            <v>1216112</v>
          </cell>
          <cell r="D491">
            <v>3</v>
          </cell>
          <cell r="H491">
            <v>103894853.50999998</v>
          </cell>
        </row>
        <row r="492">
          <cell r="C492">
            <v>1216112</v>
          </cell>
          <cell r="D492">
            <v>4</v>
          </cell>
          <cell r="H492">
            <v>30520420.788999997</v>
          </cell>
        </row>
        <row r="493">
          <cell r="C493">
            <v>1216112</v>
          </cell>
          <cell r="D493">
            <v>5</v>
          </cell>
          <cell r="H493">
            <v>45</v>
          </cell>
        </row>
        <row r="494">
          <cell r="C494">
            <v>1216112</v>
          </cell>
          <cell r="D494">
            <v>7</v>
          </cell>
          <cell r="H494">
            <v>3500000</v>
          </cell>
        </row>
        <row r="495">
          <cell r="C495">
            <v>1216112</v>
          </cell>
          <cell r="D495">
            <v>9</v>
          </cell>
          <cell r="H495">
            <v>303563002.34899998</v>
          </cell>
        </row>
        <row r="496">
          <cell r="C496" t="str">
            <v>SECTION</v>
          </cell>
          <cell r="D496">
            <v>1216115</v>
          </cell>
          <cell r="H496">
            <v>8093833.0199999996</v>
          </cell>
        </row>
        <row r="497">
          <cell r="C497">
            <v>1216115</v>
          </cell>
          <cell r="D497">
            <v>1</v>
          </cell>
          <cell r="H497">
            <v>6907809.959999999</v>
          </cell>
        </row>
        <row r="498">
          <cell r="C498">
            <v>1216115</v>
          </cell>
          <cell r="D498">
            <v>2</v>
          </cell>
          <cell r="H498">
            <v>1186023.06</v>
          </cell>
        </row>
        <row r="499">
          <cell r="C499">
            <v>1216115</v>
          </cell>
          <cell r="D499">
            <v>7</v>
          </cell>
          <cell r="H499">
            <v>0</v>
          </cell>
        </row>
        <row r="500">
          <cell r="C500" t="str">
            <v>SECTION</v>
          </cell>
          <cell r="D500">
            <v>1216117</v>
          </cell>
          <cell r="H500">
            <v>474999990.26000005</v>
          </cell>
        </row>
        <row r="501">
          <cell r="C501">
            <v>1216117</v>
          </cell>
          <cell r="D501">
            <v>1</v>
          </cell>
          <cell r="H501">
            <v>261932507.40000004</v>
          </cell>
        </row>
        <row r="502">
          <cell r="C502">
            <v>1216117</v>
          </cell>
          <cell r="D502">
            <v>2</v>
          </cell>
          <cell r="H502">
            <v>213067482.86000001</v>
          </cell>
        </row>
        <row r="503">
          <cell r="C503">
            <v>1216117</v>
          </cell>
          <cell r="D503">
            <v>7</v>
          </cell>
          <cell r="H503">
            <v>0</v>
          </cell>
        </row>
        <row r="504">
          <cell r="C504" t="str">
            <v>MIN</v>
          </cell>
          <cell r="D504">
            <v>1217</v>
          </cell>
          <cell r="H504">
            <v>489464985.04999995</v>
          </cell>
        </row>
        <row r="505">
          <cell r="C505" t="str">
            <v>chap</v>
          </cell>
          <cell r="D505">
            <v>12171</v>
          </cell>
          <cell r="H505">
            <v>489464985.04999995</v>
          </cell>
        </row>
        <row r="506">
          <cell r="C506" t="str">
            <v>SECTION</v>
          </cell>
          <cell r="D506">
            <v>1217111</v>
          </cell>
          <cell r="H506">
            <v>152351211.00999999</v>
          </cell>
        </row>
        <row r="507">
          <cell r="C507">
            <v>1217111</v>
          </cell>
          <cell r="D507">
            <v>1</v>
          </cell>
          <cell r="H507">
            <v>77826100</v>
          </cell>
        </row>
        <row r="508">
          <cell r="C508">
            <v>1217111</v>
          </cell>
          <cell r="D508">
            <v>2</v>
          </cell>
          <cell r="H508">
            <v>14999007</v>
          </cell>
        </row>
        <row r="509">
          <cell r="C509">
            <v>1217111</v>
          </cell>
          <cell r="D509">
            <v>3</v>
          </cell>
          <cell r="H509">
            <v>4993572.0000000009</v>
          </cell>
        </row>
        <row r="510">
          <cell r="C510">
            <v>1217111</v>
          </cell>
          <cell r="D510">
            <v>4</v>
          </cell>
          <cell r="H510">
            <v>0</v>
          </cell>
        </row>
        <row r="511">
          <cell r="C511">
            <v>1217111</v>
          </cell>
          <cell r="D511">
            <v>5</v>
          </cell>
          <cell r="H511">
            <v>0</v>
          </cell>
        </row>
        <row r="512">
          <cell r="C512">
            <v>1217111</v>
          </cell>
          <cell r="D512">
            <v>7</v>
          </cell>
          <cell r="H512">
            <v>35032531.959999993</v>
          </cell>
        </row>
        <row r="513">
          <cell r="C513">
            <v>1217111</v>
          </cell>
          <cell r="D513">
            <v>9</v>
          </cell>
          <cell r="H513">
            <v>19500000.050000001</v>
          </cell>
        </row>
        <row r="514">
          <cell r="C514" t="str">
            <v>SECTION</v>
          </cell>
          <cell r="D514">
            <v>1217112</v>
          </cell>
          <cell r="H514">
            <v>337113774.03999996</v>
          </cell>
        </row>
        <row r="515">
          <cell r="C515">
            <v>1217112</v>
          </cell>
          <cell r="D515">
            <v>1</v>
          </cell>
          <cell r="H515">
            <v>112606155.96000002</v>
          </cell>
        </row>
        <row r="516">
          <cell r="C516">
            <v>1217112</v>
          </cell>
          <cell r="D516">
            <v>2</v>
          </cell>
          <cell r="H516">
            <v>10332772</v>
          </cell>
        </row>
        <row r="517">
          <cell r="C517">
            <v>1217112</v>
          </cell>
          <cell r="D517">
            <v>3</v>
          </cell>
          <cell r="H517">
            <v>11953368</v>
          </cell>
        </row>
        <row r="518">
          <cell r="C518">
            <v>1217112</v>
          </cell>
          <cell r="D518">
            <v>4</v>
          </cell>
          <cell r="H518">
            <v>25421984</v>
          </cell>
        </row>
        <row r="519">
          <cell r="C519">
            <v>1217112</v>
          </cell>
          <cell r="D519">
            <v>5</v>
          </cell>
          <cell r="H519">
            <v>858538.00000000012</v>
          </cell>
        </row>
        <row r="520">
          <cell r="C520">
            <v>1217112</v>
          </cell>
          <cell r="D520">
            <v>7</v>
          </cell>
          <cell r="H520">
            <v>9967468.0799999982</v>
          </cell>
        </row>
        <row r="521">
          <cell r="C521">
            <v>1217112</v>
          </cell>
          <cell r="D521">
            <v>9</v>
          </cell>
          <cell r="H521">
            <v>165973487.99999997</v>
          </cell>
        </row>
        <row r="522">
          <cell r="C522" t="str">
            <v>SECTEUR</v>
          </cell>
          <cell r="D522">
            <v>13</v>
          </cell>
          <cell r="H522">
            <v>19192433349.912899</v>
          </cell>
        </row>
        <row r="523">
          <cell r="C523" t="str">
            <v>MIN</v>
          </cell>
          <cell r="D523">
            <v>1311</v>
          </cell>
          <cell r="H523">
            <v>12558217123.860001</v>
          </cell>
        </row>
        <row r="524">
          <cell r="C524" t="str">
            <v>chap</v>
          </cell>
          <cell r="D524">
            <v>13111</v>
          </cell>
          <cell r="H524">
            <v>12558217123.860001</v>
          </cell>
        </row>
        <row r="525">
          <cell r="C525" t="str">
            <v>SECTION</v>
          </cell>
          <cell r="D525">
            <v>1311111</v>
          </cell>
          <cell r="H525">
            <v>205099999.75999999</v>
          </cell>
        </row>
        <row r="526">
          <cell r="C526">
            <v>1311111</v>
          </cell>
          <cell r="D526">
            <v>1</v>
          </cell>
          <cell r="H526">
            <v>130000000.88</v>
          </cell>
        </row>
        <row r="527">
          <cell r="C527">
            <v>1311111</v>
          </cell>
          <cell r="D527">
            <v>2</v>
          </cell>
          <cell r="H527">
            <v>19999999.5</v>
          </cell>
        </row>
        <row r="528">
          <cell r="C528">
            <v>1311111</v>
          </cell>
          <cell r="D528">
            <v>3</v>
          </cell>
          <cell r="H528">
            <v>10000000</v>
          </cell>
        </row>
        <row r="529">
          <cell r="C529">
            <v>1311111</v>
          </cell>
          <cell r="D529">
            <v>4</v>
          </cell>
          <cell r="H529">
            <v>100000.00000000003</v>
          </cell>
        </row>
        <row r="530">
          <cell r="C530">
            <v>1311111</v>
          </cell>
          <cell r="D530">
            <v>5</v>
          </cell>
          <cell r="H530">
            <v>0</v>
          </cell>
        </row>
        <row r="531">
          <cell r="C531">
            <v>1311111</v>
          </cell>
          <cell r="D531">
            <v>7</v>
          </cell>
          <cell r="H531">
            <v>24999999.579999998</v>
          </cell>
        </row>
        <row r="532">
          <cell r="C532">
            <v>1311111</v>
          </cell>
          <cell r="D532">
            <v>9</v>
          </cell>
          <cell r="H532">
            <v>19999999.799999997</v>
          </cell>
        </row>
        <row r="533">
          <cell r="C533" t="str">
            <v>SECTION</v>
          </cell>
          <cell r="D533">
            <v>1311112</v>
          </cell>
          <cell r="H533">
            <v>11942217438.82</v>
          </cell>
        </row>
        <row r="534">
          <cell r="C534">
            <v>1311112</v>
          </cell>
          <cell r="D534">
            <v>1</v>
          </cell>
          <cell r="H534">
            <v>9717853950.7000008</v>
          </cell>
        </row>
        <row r="535">
          <cell r="C535">
            <v>1311112</v>
          </cell>
          <cell r="D535">
            <v>2</v>
          </cell>
          <cell r="H535">
            <v>888963487.92999995</v>
          </cell>
        </row>
        <row r="536">
          <cell r="C536">
            <v>1311112</v>
          </cell>
          <cell r="D536">
            <v>3</v>
          </cell>
          <cell r="H536">
            <v>210000000.41000003</v>
          </cell>
        </row>
        <row r="537">
          <cell r="C537">
            <v>1311112</v>
          </cell>
          <cell r="D537">
            <v>4</v>
          </cell>
          <cell r="H537">
            <v>100099999.89</v>
          </cell>
        </row>
        <row r="538">
          <cell r="C538">
            <v>1311112</v>
          </cell>
          <cell r="D538">
            <v>5</v>
          </cell>
          <cell r="H538">
            <v>300000.40000000002</v>
          </cell>
        </row>
        <row r="539">
          <cell r="C539">
            <v>1311112</v>
          </cell>
          <cell r="D539">
            <v>7</v>
          </cell>
          <cell r="H539">
            <v>174999999.91999999</v>
          </cell>
        </row>
        <row r="540">
          <cell r="C540">
            <v>1311112</v>
          </cell>
          <cell r="D540">
            <v>9</v>
          </cell>
          <cell r="H540">
            <v>849999999.56999993</v>
          </cell>
        </row>
        <row r="541">
          <cell r="C541" t="str">
            <v>SECTION</v>
          </cell>
          <cell r="D541">
            <v>1311115</v>
          </cell>
          <cell r="H541">
            <v>19999999.920000002</v>
          </cell>
        </row>
        <row r="542">
          <cell r="C542">
            <v>1311115</v>
          </cell>
          <cell r="D542">
            <v>1</v>
          </cell>
          <cell r="H542">
            <v>15675999.92</v>
          </cell>
        </row>
        <row r="543">
          <cell r="C543">
            <v>1311115</v>
          </cell>
          <cell r="D543">
            <v>2</v>
          </cell>
          <cell r="H543">
            <v>4324000</v>
          </cell>
        </row>
        <row r="544">
          <cell r="C544">
            <v>1311115</v>
          </cell>
          <cell r="D544">
            <v>3</v>
          </cell>
          <cell r="H544">
            <v>0</v>
          </cell>
        </row>
        <row r="545">
          <cell r="C545">
            <v>1311115</v>
          </cell>
          <cell r="D545">
            <v>4</v>
          </cell>
          <cell r="H545">
            <v>0</v>
          </cell>
        </row>
        <row r="546">
          <cell r="C546">
            <v>1311115</v>
          </cell>
          <cell r="D546">
            <v>5</v>
          </cell>
          <cell r="H546">
            <v>0</v>
          </cell>
        </row>
        <row r="547">
          <cell r="C547">
            <v>1311115</v>
          </cell>
          <cell r="D547">
            <v>7</v>
          </cell>
          <cell r="H547">
            <v>0</v>
          </cell>
        </row>
        <row r="548">
          <cell r="C548">
            <v>1311115</v>
          </cell>
          <cell r="D548">
            <v>9</v>
          </cell>
          <cell r="H548">
            <v>0</v>
          </cell>
        </row>
        <row r="549">
          <cell r="C549" t="str">
            <v>SECTION</v>
          </cell>
          <cell r="D549">
            <v>1311117</v>
          </cell>
          <cell r="H549">
            <v>319390009.99999994</v>
          </cell>
        </row>
        <row r="550">
          <cell r="C550">
            <v>1311117</v>
          </cell>
          <cell r="D550">
            <v>1</v>
          </cell>
          <cell r="H550">
            <v>262068009.99999994</v>
          </cell>
        </row>
        <row r="551">
          <cell r="C551">
            <v>1311117</v>
          </cell>
          <cell r="D551">
            <v>2</v>
          </cell>
          <cell r="H551">
            <v>57322000.000000007</v>
          </cell>
        </row>
        <row r="552">
          <cell r="C552">
            <v>1311117</v>
          </cell>
          <cell r="D552">
            <v>3</v>
          </cell>
          <cell r="H552">
            <v>0</v>
          </cell>
        </row>
        <row r="553">
          <cell r="C553">
            <v>1311117</v>
          </cell>
          <cell r="D553">
            <v>4</v>
          </cell>
          <cell r="H553">
            <v>0</v>
          </cell>
        </row>
        <row r="554">
          <cell r="C554">
            <v>1311117</v>
          </cell>
          <cell r="D554">
            <v>5</v>
          </cell>
          <cell r="H554">
            <v>0</v>
          </cell>
        </row>
        <row r="555">
          <cell r="C555">
            <v>1311117</v>
          </cell>
          <cell r="D555">
            <v>7</v>
          </cell>
          <cell r="H555">
            <v>0</v>
          </cell>
        </row>
        <row r="556">
          <cell r="C556">
            <v>1311117</v>
          </cell>
          <cell r="D556">
            <v>9</v>
          </cell>
          <cell r="H556">
            <v>0</v>
          </cell>
        </row>
        <row r="557">
          <cell r="C557" t="str">
            <v>SECTION</v>
          </cell>
          <cell r="D557">
            <v>1311118</v>
          </cell>
          <cell r="H557">
            <v>71509675.359999999</v>
          </cell>
        </row>
        <row r="558">
          <cell r="C558">
            <v>1311118</v>
          </cell>
          <cell r="D558">
            <v>1</v>
          </cell>
          <cell r="H558">
            <v>20000000</v>
          </cell>
        </row>
        <row r="559">
          <cell r="C559">
            <v>1311118</v>
          </cell>
          <cell r="D559">
            <v>2</v>
          </cell>
          <cell r="H559">
            <v>51509675.359999999</v>
          </cell>
        </row>
        <row r="560">
          <cell r="C560">
            <v>1311118</v>
          </cell>
          <cell r="D560">
            <v>7</v>
          </cell>
          <cell r="H560">
            <v>0</v>
          </cell>
        </row>
        <row r="561">
          <cell r="C561" t="str">
            <v>MIN</v>
          </cell>
          <cell r="D561">
            <v>1312</v>
          </cell>
          <cell r="H561">
            <v>1072593398.3750001</v>
          </cell>
        </row>
        <row r="562">
          <cell r="C562" t="str">
            <v>chap</v>
          </cell>
          <cell r="D562">
            <v>13121</v>
          </cell>
          <cell r="H562">
            <v>1072593398.3750001</v>
          </cell>
        </row>
        <row r="563">
          <cell r="C563" t="str">
            <v>SECTION</v>
          </cell>
          <cell r="D563">
            <v>1312111</v>
          </cell>
          <cell r="H563">
            <v>121836316.06099999</v>
          </cell>
        </row>
        <row r="564">
          <cell r="C564">
            <v>1312111</v>
          </cell>
          <cell r="D564">
            <v>1</v>
          </cell>
          <cell r="H564">
            <v>109482430.73999999</v>
          </cell>
        </row>
        <row r="565">
          <cell r="C565">
            <v>1312111</v>
          </cell>
          <cell r="D565">
            <v>2</v>
          </cell>
          <cell r="H565">
            <v>3736572.9899999993</v>
          </cell>
        </row>
        <row r="566">
          <cell r="C566">
            <v>1312111</v>
          </cell>
          <cell r="D566">
            <v>3</v>
          </cell>
          <cell r="H566">
            <v>4009140.05</v>
          </cell>
        </row>
        <row r="567">
          <cell r="C567">
            <v>1312111</v>
          </cell>
          <cell r="D567">
            <v>4</v>
          </cell>
          <cell r="H567">
            <v>0</v>
          </cell>
        </row>
        <row r="568">
          <cell r="C568">
            <v>1312111</v>
          </cell>
          <cell r="D568">
            <v>5</v>
          </cell>
          <cell r="H568">
            <v>0</v>
          </cell>
        </row>
        <row r="569">
          <cell r="C569">
            <v>1312111</v>
          </cell>
          <cell r="D569">
            <v>7</v>
          </cell>
          <cell r="H569">
            <v>1000000</v>
          </cell>
        </row>
        <row r="570">
          <cell r="C570">
            <v>1312111</v>
          </cell>
          <cell r="D570">
            <v>9</v>
          </cell>
          <cell r="H570">
            <v>3608172.281</v>
          </cell>
        </row>
        <row r="571">
          <cell r="C571" t="str">
            <v>SECTION</v>
          </cell>
          <cell r="D571">
            <v>1312112</v>
          </cell>
          <cell r="H571">
            <v>718392247.56500018</v>
          </cell>
        </row>
        <row r="572">
          <cell r="C572">
            <v>1312112</v>
          </cell>
          <cell r="D572">
            <v>1</v>
          </cell>
          <cell r="H572">
            <v>567446888.29000008</v>
          </cell>
        </row>
        <row r="573">
          <cell r="C573">
            <v>1312112</v>
          </cell>
          <cell r="D573">
            <v>2</v>
          </cell>
          <cell r="H573">
            <v>38885515.978000008</v>
          </cell>
        </row>
        <row r="574">
          <cell r="C574">
            <v>1312112</v>
          </cell>
          <cell r="D574">
            <v>3</v>
          </cell>
          <cell r="H574">
            <v>30449163.727999996</v>
          </cell>
        </row>
        <row r="575">
          <cell r="C575">
            <v>1312112</v>
          </cell>
          <cell r="D575">
            <v>4</v>
          </cell>
          <cell r="H575">
            <v>14772823.936000001</v>
          </cell>
        </row>
        <row r="576">
          <cell r="C576">
            <v>1312112</v>
          </cell>
          <cell r="D576">
            <v>5</v>
          </cell>
          <cell r="H576">
            <v>0</v>
          </cell>
        </row>
        <row r="577">
          <cell r="C577">
            <v>1312112</v>
          </cell>
          <cell r="D577">
            <v>7</v>
          </cell>
          <cell r="H577">
            <v>0</v>
          </cell>
        </row>
        <row r="578">
          <cell r="C578">
            <v>1312112</v>
          </cell>
          <cell r="D578">
            <v>9</v>
          </cell>
          <cell r="H578">
            <v>66837855.633000001</v>
          </cell>
        </row>
        <row r="579">
          <cell r="C579" t="str">
            <v>SECTION</v>
          </cell>
          <cell r="D579">
            <v>1312113</v>
          </cell>
          <cell r="H579">
            <v>58664599.035999998</v>
          </cell>
        </row>
        <row r="580">
          <cell r="C580">
            <v>1312113</v>
          </cell>
          <cell r="D580">
            <v>1</v>
          </cell>
          <cell r="H580">
            <v>44948160.039999999</v>
          </cell>
        </row>
        <row r="581">
          <cell r="C581">
            <v>1312113</v>
          </cell>
          <cell r="D581">
            <v>2</v>
          </cell>
          <cell r="H581">
            <v>13716438.996000001</v>
          </cell>
        </row>
        <row r="582">
          <cell r="C582">
            <v>1312113</v>
          </cell>
          <cell r="D582">
            <v>3</v>
          </cell>
          <cell r="H582">
            <v>0</v>
          </cell>
        </row>
        <row r="583">
          <cell r="C583">
            <v>1312113</v>
          </cell>
          <cell r="D583">
            <v>4</v>
          </cell>
          <cell r="H583">
            <v>0</v>
          </cell>
        </row>
        <row r="584">
          <cell r="C584">
            <v>1312113</v>
          </cell>
          <cell r="D584">
            <v>5</v>
          </cell>
          <cell r="H584">
            <v>0</v>
          </cell>
        </row>
        <row r="585">
          <cell r="C585">
            <v>1312113</v>
          </cell>
          <cell r="D585">
            <v>7</v>
          </cell>
          <cell r="H585">
            <v>0</v>
          </cell>
        </row>
        <row r="586">
          <cell r="C586">
            <v>1312113</v>
          </cell>
          <cell r="D586">
            <v>9</v>
          </cell>
          <cell r="H586">
            <v>0</v>
          </cell>
        </row>
        <row r="587">
          <cell r="C587" t="str">
            <v>SECTION</v>
          </cell>
          <cell r="D587">
            <v>1312114</v>
          </cell>
          <cell r="H587">
            <v>58668811.420000002</v>
          </cell>
        </row>
        <row r="588">
          <cell r="C588">
            <v>1312114</v>
          </cell>
          <cell r="D588">
            <v>1</v>
          </cell>
          <cell r="H588">
            <v>44177723.940000005</v>
          </cell>
        </row>
        <row r="589">
          <cell r="C589">
            <v>1312114</v>
          </cell>
          <cell r="D589">
            <v>2</v>
          </cell>
          <cell r="H589">
            <v>14491087.48</v>
          </cell>
        </row>
        <row r="590">
          <cell r="C590">
            <v>1312114</v>
          </cell>
          <cell r="D590">
            <v>3</v>
          </cell>
          <cell r="H590">
            <v>0</v>
          </cell>
        </row>
        <row r="591">
          <cell r="C591">
            <v>1312114</v>
          </cell>
          <cell r="D591">
            <v>4</v>
          </cell>
          <cell r="H591">
            <v>0</v>
          </cell>
        </row>
        <row r="592">
          <cell r="C592">
            <v>1312114</v>
          </cell>
          <cell r="D592">
            <v>5</v>
          </cell>
          <cell r="H592">
            <v>0</v>
          </cell>
        </row>
        <row r="593">
          <cell r="C593">
            <v>1312114</v>
          </cell>
          <cell r="D593">
            <v>7</v>
          </cell>
          <cell r="H593">
            <v>0</v>
          </cell>
        </row>
        <row r="594">
          <cell r="C594">
            <v>1312114</v>
          </cell>
          <cell r="D594">
            <v>9</v>
          </cell>
          <cell r="H594">
            <v>0</v>
          </cell>
        </row>
        <row r="595">
          <cell r="C595" t="str">
            <v>SECTION</v>
          </cell>
          <cell r="D595">
            <v>1312115</v>
          </cell>
          <cell r="H595">
            <v>69999888.290000007</v>
          </cell>
        </row>
        <row r="596">
          <cell r="C596">
            <v>1312115</v>
          </cell>
          <cell r="D596">
            <v>1</v>
          </cell>
          <cell r="H596">
            <v>44953171.290000007</v>
          </cell>
        </row>
        <row r="597">
          <cell r="C597">
            <v>1312115</v>
          </cell>
          <cell r="D597">
            <v>2</v>
          </cell>
          <cell r="H597">
            <v>25046717</v>
          </cell>
        </row>
        <row r="598">
          <cell r="C598">
            <v>1312115</v>
          </cell>
          <cell r="D598">
            <v>3</v>
          </cell>
          <cell r="H598">
            <v>0</v>
          </cell>
        </row>
        <row r="599">
          <cell r="C599">
            <v>1312115</v>
          </cell>
          <cell r="D599">
            <v>4</v>
          </cell>
          <cell r="H599">
            <v>0</v>
          </cell>
        </row>
        <row r="600">
          <cell r="C600">
            <v>1312115</v>
          </cell>
          <cell r="D600">
            <v>5</v>
          </cell>
          <cell r="H600">
            <v>0</v>
          </cell>
        </row>
        <row r="601">
          <cell r="C601">
            <v>1312115</v>
          </cell>
          <cell r="D601">
            <v>7</v>
          </cell>
          <cell r="H601">
            <v>0</v>
          </cell>
        </row>
        <row r="602">
          <cell r="C602">
            <v>1312115</v>
          </cell>
          <cell r="D602">
            <v>9</v>
          </cell>
          <cell r="H602">
            <v>0</v>
          </cell>
        </row>
        <row r="603">
          <cell r="C603" t="str">
            <v>SECTION</v>
          </cell>
          <cell r="D603">
            <v>1312117</v>
          </cell>
          <cell r="H603">
            <v>45031536.002999999</v>
          </cell>
        </row>
        <row r="604">
          <cell r="C604">
            <v>1312117</v>
          </cell>
          <cell r="D604">
            <v>1</v>
          </cell>
          <cell r="H604">
            <v>22031544</v>
          </cell>
        </row>
        <row r="605">
          <cell r="C605">
            <v>1312117</v>
          </cell>
          <cell r="D605">
            <v>9</v>
          </cell>
          <cell r="H605">
            <v>22999992.002999999</v>
          </cell>
        </row>
        <row r="606">
          <cell r="C606" t="str">
            <v>MIN</v>
          </cell>
          <cell r="D606">
            <v>1313</v>
          </cell>
          <cell r="H606">
            <v>4713900068.776001</v>
          </cell>
        </row>
        <row r="607">
          <cell r="C607" t="str">
            <v>chap</v>
          </cell>
          <cell r="D607">
            <v>13131</v>
          </cell>
          <cell r="H607">
            <v>4713900068.776001</v>
          </cell>
        </row>
        <row r="608">
          <cell r="C608" t="str">
            <v>SECTION</v>
          </cell>
          <cell r="D608">
            <v>1313111</v>
          </cell>
          <cell r="H608">
            <v>96739481.919999987</v>
          </cell>
        </row>
        <row r="609">
          <cell r="C609">
            <v>1313111</v>
          </cell>
          <cell r="D609">
            <v>1</v>
          </cell>
          <cell r="H609">
            <v>60670076.999999985</v>
          </cell>
        </row>
        <row r="610">
          <cell r="C610">
            <v>1313111</v>
          </cell>
          <cell r="D610">
            <v>2</v>
          </cell>
          <cell r="H610">
            <v>3789123.92</v>
          </cell>
        </row>
        <row r="611">
          <cell r="C611">
            <v>1313111</v>
          </cell>
          <cell r="D611">
            <v>3</v>
          </cell>
          <cell r="H611">
            <v>0</v>
          </cell>
        </row>
        <row r="612">
          <cell r="C612">
            <v>1313111</v>
          </cell>
          <cell r="D612">
            <v>4</v>
          </cell>
          <cell r="H612">
            <v>0</v>
          </cell>
        </row>
        <row r="613">
          <cell r="C613">
            <v>1313111</v>
          </cell>
          <cell r="D613">
            <v>5</v>
          </cell>
          <cell r="H613">
            <v>0</v>
          </cell>
        </row>
        <row r="614">
          <cell r="C614">
            <v>1313111</v>
          </cell>
          <cell r="D614">
            <v>7</v>
          </cell>
          <cell r="H614">
            <v>2280281</v>
          </cell>
        </row>
        <row r="615">
          <cell r="C615">
            <v>1313111</v>
          </cell>
          <cell r="D615">
            <v>9</v>
          </cell>
          <cell r="H615">
            <v>30000000</v>
          </cell>
        </row>
        <row r="616">
          <cell r="C616" t="str">
            <v>SECTION</v>
          </cell>
          <cell r="D616">
            <v>1313112</v>
          </cell>
          <cell r="H616">
            <v>4614760598.8600006</v>
          </cell>
        </row>
        <row r="617">
          <cell r="C617">
            <v>1313112</v>
          </cell>
          <cell r="D617">
            <v>1</v>
          </cell>
          <cell r="H617">
            <v>4103386194.5200009</v>
          </cell>
        </row>
        <row r="618">
          <cell r="C618">
            <v>1313112</v>
          </cell>
          <cell r="D618">
            <v>2</v>
          </cell>
          <cell r="H618">
            <v>104582633.241</v>
          </cell>
        </row>
        <row r="619">
          <cell r="C619">
            <v>1313112</v>
          </cell>
          <cell r="D619">
            <v>3</v>
          </cell>
          <cell r="H619">
            <v>306513359.36000001</v>
          </cell>
        </row>
        <row r="620">
          <cell r="C620">
            <v>1313112</v>
          </cell>
          <cell r="D620">
            <v>4</v>
          </cell>
          <cell r="H620">
            <v>37718412.089000002</v>
          </cell>
        </row>
        <row r="621">
          <cell r="C621">
            <v>1313112</v>
          </cell>
          <cell r="D621">
            <v>5</v>
          </cell>
          <cell r="H621">
            <v>0</v>
          </cell>
        </row>
        <row r="622">
          <cell r="C622">
            <v>1313112</v>
          </cell>
          <cell r="D622">
            <v>7</v>
          </cell>
          <cell r="H622">
            <v>1464999.9639999999</v>
          </cell>
        </row>
        <row r="623">
          <cell r="C623">
            <v>1313112</v>
          </cell>
          <cell r="D623">
            <v>9</v>
          </cell>
          <cell r="H623">
            <v>61094999.686000019</v>
          </cell>
        </row>
        <row r="624">
          <cell r="C624" t="str">
            <v>SECTION</v>
          </cell>
          <cell r="D624">
            <v>1313114</v>
          </cell>
          <cell r="H624">
            <v>2399987.9959999998</v>
          </cell>
        </row>
        <row r="625">
          <cell r="C625">
            <v>1313114</v>
          </cell>
          <cell r="D625">
            <v>7</v>
          </cell>
          <cell r="H625">
            <v>2399987.9959999998</v>
          </cell>
        </row>
        <row r="626">
          <cell r="C626" t="str">
            <v>MIN</v>
          </cell>
          <cell r="D626">
            <v>1314</v>
          </cell>
          <cell r="H626">
            <v>168203101.1419</v>
          </cell>
        </row>
        <row r="627">
          <cell r="C627" t="str">
            <v>chap</v>
          </cell>
          <cell r="D627">
            <v>13141</v>
          </cell>
          <cell r="H627">
            <v>168203101.1419</v>
          </cell>
        </row>
        <row r="628">
          <cell r="C628" t="str">
            <v>SECTION</v>
          </cell>
          <cell r="D628">
            <v>1314111</v>
          </cell>
          <cell r="H628">
            <v>38092491.074000001</v>
          </cell>
        </row>
        <row r="629">
          <cell r="C629">
            <v>1314111</v>
          </cell>
          <cell r="D629">
            <v>1</v>
          </cell>
          <cell r="H629">
            <v>32521591.300000001</v>
          </cell>
        </row>
        <row r="630">
          <cell r="C630">
            <v>1314111</v>
          </cell>
          <cell r="D630">
            <v>2</v>
          </cell>
          <cell r="H630">
            <v>0.16999999992549419</v>
          </cell>
        </row>
        <row r="631">
          <cell r="C631">
            <v>1314111</v>
          </cell>
          <cell r="D631">
            <v>3</v>
          </cell>
          <cell r="H631">
            <v>2215531.6040000003</v>
          </cell>
        </row>
        <row r="632">
          <cell r="C632">
            <v>1314111</v>
          </cell>
          <cell r="D632">
            <v>4</v>
          </cell>
          <cell r="H632">
            <v>1206120.0000000002</v>
          </cell>
        </row>
        <row r="633">
          <cell r="C633">
            <v>1314111</v>
          </cell>
          <cell r="D633">
            <v>5</v>
          </cell>
          <cell r="H633">
            <v>0</v>
          </cell>
        </row>
        <row r="634">
          <cell r="C634">
            <v>1314111</v>
          </cell>
          <cell r="D634">
            <v>7</v>
          </cell>
          <cell r="H634">
            <v>0</v>
          </cell>
        </row>
        <row r="635">
          <cell r="C635">
            <v>1314111</v>
          </cell>
          <cell r="D635">
            <v>9</v>
          </cell>
          <cell r="H635">
            <v>2149248</v>
          </cell>
        </row>
        <row r="636">
          <cell r="C636" t="str">
            <v>SECTION</v>
          </cell>
          <cell r="D636">
            <v>1314112</v>
          </cell>
          <cell r="H636">
            <v>130110610.0679</v>
          </cell>
        </row>
        <row r="637">
          <cell r="C637">
            <v>1314112</v>
          </cell>
          <cell r="D637">
            <v>1</v>
          </cell>
          <cell r="H637">
            <v>82872757.493900001</v>
          </cell>
        </row>
        <row r="638">
          <cell r="C638">
            <v>1314112</v>
          </cell>
          <cell r="D638">
            <v>2</v>
          </cell>
          <cell r="H638">
            <v>15962826.219999999</v>
          </cell>
        </row>
        <row r="639">
          <cell r="C639">
            <v>1314112</v>
          </cell>
          <cell r="D639">
            <v>3</v>
          </cell>
          <cell r="H639">
            <v>10787395.284</v>
          </cell>
        </row>
        <row r="640">
          <cell r="C640">
            <v>1314112</v>
          </cell>
          <cell r="D640">
            <v>4</v>
          </cell>
          <cell r="H640">
            <v>2500004.0900000003</v>
          </cell>
        </row>
        <row r="641">
          <cell r="C641">
            <v>1314112</v>
          </cell>
          <cell r="D641">
            <v>5</v>
          </cell>
          <cell r="H641">
            <v>0</v>
          </cell>
        </row>
        <row r="642">
          <cell r="C642">
            <v>1314112</v>
          </cell>
          <cell r="D642">
            <v>7</v>
          </cell>
          <cell r="H642">
            <v>0</v>
          </cell>
        </row>
        <row r="643">
          <cell r="C643">
            <v>1314112</v>
          </cell>
          <cell r="D643">
            <v>9</v>
          </cell>
          <cell r="H643">
            <v>17987626.98</v>
          </cell>
        </row>
        <row r="644">
          <cell r="C644" t="str">
            <v>MIN</v>
          </cell>
          <cell r="D644">
            <v>1315</v>
          </cell>
          <cell r="H644">
            <v>679519657.76000011</v>
          </cell>
        </row>
        <row r="645">
          <cell r="C645" t="str">
            <v>chap</v>
          </cell>
          <cell r="D645">
            <v>13151</v>
          </cell>
          <cell r="H645">
            <v>679519657.76000011</v>
          </cell>
        </row>
        <row r="646">
          <cell r="C646" t="str">
            <v>SECTION</v>
          </cell>
          <cell r="D646">
            <v>1315111</v>
          </cell>
          <cell r="H646">
            <v>133974332.96000001</v>
          </cell>
        </row>
        <row r="647">
          <cell r="C647">
            <v>1315111</v>
          </cell>
          <cell r="D647">
            <v>1</v>
          </cell>
          <cell r="H647">
            <v>81668614.960000008</v>
          </cell>
        </row>
        <row r="648">
          <cell r="C648">
            <v>1315111</v>
          </cell>
          <cell r="D648">
            <v>2</v>
          </cell>
          <cell r="H648">
            <v>9066084</v>
          </cell>
        </row>
        <row r="649">
          <cell r="C649">
            <v>1315111</v>
          </cell>
          <cell r="D649">
            <v>3</v>
          </cell>
          <cell r="H649">
            <v>5939642</v>
          </cell>
        </row>
        <row r="650">
          <cell r="C650">
            <v>1315111</v>
          </cell>
          <cell r="D650">
            <v>4</v>
          </cell>
          <cell r="H650">
            <v>0</v>
          </cell>
        </row>
        <row r="651">
          <cell r="C651">
            <v>1315111</v>
          </cell>
          <cell r="D651">
            <v>5</v>
          </cell>
          <cell r="H651">
            <v>0</v>
          </cell>
        </row>
        <row r="652">
          <cell r="C652">
            <v>1315111</v>
          </cell>
          <cell r="D652">
            <v>7</v>
          </cell>
          <cell r="H652">
            <v>1299992</v>
          </cell>
        </row>
        <row r="653">
          <cell r="C653">
            <v>1315111</v>
          </cell>
          <cell r="D653">
            <v>9</v>
          </cell>
          <cell r="H653">
            <v>36000000</v>
          </cell>
        </row>
        <row r="654">
          <cell r="C654" t="str">
            <v>SECTION</v>
          </cell>
          <cell r="D654">
            <v>1315112</v>
          </cell>
          <cell r="H654">
            <v>545545324.80000007</v>
          </cell>
        </row>
        <row r="655">
          <cell r="C655">
            <v>1315112</v>
          </cell>
          <cell r="D655">
            <v>1</v>
          </cell>
          <cell r="H655">
            <v>242990120.80000001</v>
          </cell>
        </row>
        <row r="656">
          <cell r="C656">
            <v>1315112</v>
          </cell>
          <cell r="D656">
            <v>2</v>
          </cell>
          <cell r="H656">
            <v>38390187.996000007</v>
          </cell>
        </row>
        <row r="657">
          <cell r="C657">
            <v>1315112</v>
          </cell>
          <cell r="D657">
            <v>3</v>
          </cell>
          <cell r="H657">
            <v>61020374.004000008</v>
          </cell>
        </row>
        <row r="658">
          <cell r="C658">
            <v>1315112</v>
          </cell>
          <cell r="D658">
            <v>4</v>
          </cell>
          <cell r="H658">
            <v>15061522.000000002</v>
          </cell>
        </row>
        <row r="659">
          <cell r="C659">
            <v>1315112</v>
          </cell>
          <cell r="D659">
            <v>5</v>
          </cell>
          <cell r="H659">
            <v>0</v>
          </cell>
        </row>
        <row r="660">
          <cell r="C660">
            <v>1315112</v>
          </cell>
          <cell r="D660">
            <v>7</v>
          </cell>
          <cell r="H660">
            <v>199996</v>
          </cell>
        </row>
        <row r="661">
          <cell r="C661">
            <v>1315112</v>
          </cell>
          <cell r="D661">
            <v>9</v>
          </cell>
          <cell r="H661">
            <v>187883124.00000003</v>
          </cell>
        </row>
        <row r="662">
          <cell r="C662" t="str">
            <v>SECTEUR</v>
          </cell>
          <cell r="D662">
            <v>14</v>
          </cell>
          <cell r="H662">
            <v>1765436464.1409998</v>
          </cell>
        </row>
        <row r="663">
          <cell r="C663" t="str">
            <v>MIN</v>
          </cell>
          <cell r="D663">
            <v>1411</v>
          </cell>
          <cell r="H663">
            <v>185752089.92899996</v>
          </cell>
        </row>
        <row r="664">
          <cell r="C664" t="str">
            <v>chap</v>
          </cell>
          <cell r="D664">
            <v>14111</v>
          </cell>
          <cell r="H664">
            <v>185752089.92899996</v>
          </cell>
        </row>
        <row r="665">
          <cell r="C665" t="str">
            <v>SECTION</v>
          </cell>
          <cell r="D665">
            <v>1411112</v>
          </cell>
          <cell r="H665">
            <v>185752089.92899996</v>
          </cell>
        </row>
        <row r="666">
          <cell r="C666">
            <v>1411112</v>
          </cell>
          <cell r="D666">
            <v>1</v>
          </cell>
          <cell r="H666">
            <v>84418762.999999985</v>
          </cell>
        </row>
        <row r="667">
          <cell r="C667">
            <v>1411112</v>
          </cell>
          <cell r="D667">
            <v>2</v>
          </cell>
          <cell r="H667">
            <v>16585515.739</v>
          </cell>
        </row>
        <row r="668">
          <cell r="C668">
            <v>1411112</v>
          </cell>
          <cell r="D668">
            <v>3</v>
          </cell>
          <cell r="H668">
            <v>11904352</v>
          </cell>
        </row>
        <row r="669">
          <cell r="C669">
            <v>1411112</v>
          </cell>
          <cell r="D669">
            <v>4</v>
          </cell>
          <cell r="H669">
            <v>9405975.2400000002</v>
          </cell>
        </row>
        <row r="670">
          <cell r="C670">
            <v>1411112</v>
          </cell>
          <cell r="D670">
            <v>5</v>
          </cell>
          <cell r="H670">
            <v>0</v>
          </cell>
        </row>
        <row r="671">
          <cell r="C671">
            <v>1411112</v>
          </cell>
          <cell r="D671">
            <v>7</v>
          </cell>
          <cell r="H671">
            <v>59392771.999999993</v>
          </cell>
        </row>
        <row r="672">
          <cell r="C672">
            <v>1411112</v>
          </cell>
          <cell r="D672">
            <v>9</v>
          </cell>
          <cell r="H672">
            <v>4044711.950000002</v>
          </cell>
        </row>
        <row r="673">
          <cell r="C673" t="str">
            <v>MIN</v>
          </cell>
          <cell r="D673">
            <v>1412</v>
          </cell>
          <cell r="H673">
            <v>1242456927.7920001</v>
          </cell>
        </row>
        <row r="674">
          <cell r="C674" t="str">
            <v>chap</v>
          </cell>
          <cell r="D674">
            <v>14121</v>
          </cell>
          <cell r="H674">
            <v>1242456927.7920001</v>
          </cell>
        </row>
        <row r="675">
          <cell r="C675" t="str">
            <v>SECTION</v>
          </cell>
          <cell r="D675">
            <v>1412111</v>
          </cell>
          <cell r="H675">
            <v>115235382.92200001</v>
          </cell>
        </row>
        <row r="676">
          <cell r="C676">
            <v>1412111</v>
          </cell>
          <cell r="D676">
            <v>1</v>
          </cell>
          <cell r="H676">
            <v>59851225.920000002</v>
          </cell>
        </row>
        <row r="677">
          <cell r="C677">
            <v>1412111</v>
          </cell>
          <cell r="D677">
            <v>2</v>
          </cell>
          <cell r="H677">
            <v>20212808.469999999</v>
          </cell>
        </row>
        <row r="678">
          <cell r="C678">
            <v>1412111</v>
          </cell>
          <cell r="D678">
            <v>3</v>
          </cell>
          <cell r="H678">
            <v>0</v>
          </cell>
        </row>
        <row r="679">
          <cell r="C679">
            <v>1412111</v>
          </cell>
          <cell r="D679">
            <v>4</v>
          </cell>
          <cell r="H679">
            <v>3993853.4519999996</v>
          </cell>
        </row>
        <row r="680">
          <cell r="C680">
            <v>1412111</v>
          </cell>
          <cell r="D680">
            <v>5</v>
          </cell>
          <cell r="H680">
            <v>0</v>
          </cell>
        </row>
        <row r="681">
          <cell r="C681">
            <v>1412111</v>
          </cell>
          <cell r="D681">
            <v>7</v>
          </cell>
          <cell r="H681">
            <v>13000000.080000002</v>
          </cell>
        </row>
        <row r="682">
          <cell r="C682">
            <v>1412111</v>
          </cell>
          <cell r="D682">
            <v>9</v>
          </cell>
          <cell r="H682">
            <v>18177495</v>
          </cell>
        </row>
        <row r="683">
          <cell r="C683" t="str">
            <v>SECTION</v>
          </cell>
          <cell r="D683">
            <v>1412112</v>
          </cell>
          <cell r="H683">
            <v>275168723.85600001</v>
          </cell>
        </row>
        <row r="684">
          <cell r="C684">
            <v>1412112</v>
          </cell>
          <cell r="D684">
            <v>1</v>
          </cell>
          <cell r="H684">
            <v>74378501</v>
          </cell>
        </row>
        <row r="685">
          <cell r="C685">
            <v>1412112</v>
          </cell>
          <cell r="D685">
            <v>2</v>
          </cell>
          <cell r="H685">
            <v>33552529.506000005</v>
          </cell>
        </row>
        <row r="686">
          <cell r="C686">
            <v>1412112</v>
          </cell>
          <cell r="D686">
            <v>3</v>
          </cell>
          <cell r="H686">
            <v>9.0000000782310963E-2</v>
          </cell>
        </row>
        <row r="687">
          <cell r="C687">
            <v>1412112</v>
          </cell>
          <cell r="D687">
            <v>4</v>
          </cell>
          <cell r="H687">
            <v>11863799.191999998</v>
          </cell>
        </row>
        <row r="688">
          <cell r="C688">
            <v>1412112</v>
          </cell>
          <cell r="D688">
            <v>5</v>
          </cell>
          <cell r="H688">
            <v>0</v>
          </cell>
        </row>
        <row r="689">
          <cell r="C689">
            <v>1412112</v>
          </cell>
          <cell r="D689">
            <v>7</v>
          </cell>
          <cell r="H689">
            <v>6.600000016624108E-2</v>
          </cell>
        </row>
        <row r="690">
          <cell r="C690">
            <v>1412112</v>
          </cell>
          <cell r="D690">
            <v>9</v>
          </cell>
          <cell r="H690">
            <v>155373894.00199997</v>
          </cell>
        </row>
        <row r="691">
          <cell r="C691" t="str">
            <v>SECTION</v>
          </cell>
          <cell r="D691">
            <v>1412113</v>
          </cell>
          <cell r="H691">
            <v>56164740.740000002</v>
          </cell>
        </row>
        <row r="692">
          <cell r="C692">
            <v>1412113</v>
          </cell>
          <cell r="D692">
            <v>1</v>
          </cell>
          <cell r="H692">
            <v>37425068.340000004</v>
          </cell>
        </row>
        <row r="693">
          <cell r="C693">
            <v>1412113</v>
          </cell>
          <cell r="D693">
            <v>2</v>
          </cell>
          <cell r="H693">
            <v>18739672.399999999</v>
          </cell>
        </row>
        <row r="694">
          <cell r="C694">
            <v>1412113</v>
          </cell>
          <cell r="D694">
            <v>3</v>
          </cell>
          <cell r="H694">
            <v>0</v>
          </cell>
        </row>
        <row r="695">
          <cell r="C695">
            <v>1412113</v>
          </cell>
          <cell r="D695">
            <v>4</v>
          </cell>
          <cell r="H695">
            <v>0</v>
          </cell>
        </row>
        <row r="696">
          <cell r="C696">
            <v>1412113</v>
          </cell>
          <cell r="D696">
            <v>5</v>
          </cell>
          <cell r="H696">
            <v>0</v>
          </cell>
        </row>
        <row r="697">
          <cell r="C697">
            <v>1412113</v>
          </cell>
          <cell r="D697">
            <v>7</v>
          </cell>
          <cell r="H697">
            <v>0</v>
          </cell>
        </row>
        <row r="698">
          <cell r="C698">
            <v>1412113</v>
          </cell>
          <cell r="D698">
            <v>9</v>
          </cell>
          <cell r="H698">
            <v>0</v>
          </cell>
        </row>
        <row r="699">
          <cell r="C699" t="str">
            <v>SECTION</v>
          </cell>
          <cell r="D699">
            <v>1412114</v>
          </cell>
          <cell r="H699">
            <v>70851656.340000004</v>
          </cell>
        </row>
        <row r="700">
          <cell r="C700">
            <v>1412114</v>
          </cell>
          <cell r="D700">
            <v>1</v>
          </cell>
          <cell r="H700">
            <v>37558780.290000007</v>
          </cell>
        </row>
        <row r="701">
          <cell r="C701">
            <v>1412114</v>
          </cell>
          <cell r="D701">
            <v>2</v>
          </cell>
          <cell r="H701">
            <v>33292876.049999993</v>
          </cell>
        </row>
        <row r="702">
          <cell r="C702">
            <v>1412114</v>
          </cell>
          <cell r="D702">
            <v>3</v>
          </cell>
          <cell r="H702">
            <v>0</v>
          </cell>
        </row>
        <row r="703">
          <cell r="C703">
            <v>1412114</v>
          </cell>
          <cell r="D703">
            <v>4</v>
          </cell>
          <cell r="H703">
            <v>0</v>
          </cell>
        </row>
        <row r="704">
          <cell r="C704">
            <v>1412114</v>
          </cell>
          <cell r="D704">
            <v>5</v>
          </cell>
          <cell r="H704">
            <v>0</v>
          </cell>
        </row>
        <row r="705">
          <cell r="C705">
            <v>1412114</v>
          </cell>
          <cell r="D705">
            <v>7</v>
          </cell>
          <cell r="H705">
            <v>0</v>
          </cell>
        </row>
        <row r="706">
          <cell r="C706">
            <v>1412114</v>
          </cell>
          <cell r="D706">
            <v>9</v>
          </cell>
          <cell r="H706">
            <v>0</v>
          </cell>
        </row>
        <row r="707">
          <cell r="C707" t="str">
            <v>SECTION</v>
          </cell>
          <cell r="D707">
            <v>1412115</v>
          </cell>
          <cell r="H707">
            <v>55684113.934</v>
          </cell>
        </row>
        <row r="708">
          <cell r="C708">
            <v>1412115</v>
          </cell>
          <cell r="D708">
            <v>1</v>
          </cell>
          <cell r="H708">
            <v>43684113.850000001</v>
          </cell>
        </row>
        <row r="709">
          <cell r="C709">
            <v>1412115</v>
          </cell>
          <cell r="D709">
            <v>2</v>
          </cell>
          <cell r="H709">
            <v>12000000.084000001</v>
          </cell>
        </row>
        <row r="710">
          <cell r="C710">
            <v>1412115</v>
          </cell>
          <cell r="D710">
            <v>3</v>
          </cell>
          <cell r="H710">
            <v>0</v>
          </cell>
        </row>
        <row r="711">
          <cell r="C711">
            <v>1412115</v>
          </cell>
          <cell r="D711">
            <v>4</v>
          </cell>
          <cell r="H711">
            <v>0</v>
          </cell>
        </row>
        <row r="712">
          <cell r="C712">
            <v>1412115</v>
          </cell>
          <cell r="D712">
            <v>5</v>
          </cell>
          <cell r="H712">
            <v>0</v>
          </cell>
        </row>
        <row r="713">
          <cell r="C713">
            <v>1412115</v>
          </cell>
          <cell r="D713">
            <v>7</v>
          </cell>
          <cell r="H713">
            <v>0</v>
          </cell>
        </row>
        <row r="714">
          <cell r="C714">
            <v>1412115</v>
          </cell>
          <cell r="D714">
            <v>9</v>
          </cell>
          <cell r="H714">
            <v>0</v>
          </cell>
        </row>
        <row r="715">
          <cell r="C715" t="str">
            <v>SECTION</v>
          </cell>
          <cell r="D715">
            <v>1412116</v>
          </cell>
          <cell r="H715">
            <v>49083923.175999999</v>
          </cell>
        </row>
        <row r="716">
          <cell r="C716">
            <v>1412116</v>
          </cell>
          <cell r="D716">
            <v>1</v>
          </cell>
          <cell r="H716">
            <v>24328499.959999997</v>
          </cell>
        </row>
        <row r="717">
          <cell r="C717">
            <v>1412116</v>
          </cell>
          <cell r="D717">
            <v>2</v>
          </cell>
          <cell r="H717">
            <v>24755423.215999998</v>
          </cell>
        </row>
        <row r="718">
          <cell r="C718">
            <v>1412116</v>
          </cell>
          <cell r="D718">
            <v>3</v>
          </cell>
          <cell r="H718">
            <v>0</v>
          </cell>
        </row>
        <row r="719">
          <cell r="C719">
            <v>1412116</v>
          </cell>
          <cell r="D719">
            <v>4</v>
          </cell>
          <cell r="H719">
            <v>0</v>
          </cell>
        </row>
        <row r="720">
          <cell r="C720">
            <v>1412116</v>
          </cell>
          <cell r="D720">
            <v>5</v>
          </cell>
          <cell r="H720">
            <v>0</v>
          </cell>
        </row>
        <row r="721">
          <cell r="C721">
            <v>1412116</v>
          </cell>
          <cell r="D721">
            <v>7</v>
          </cell>
          <cell r="H721">
            <v>0</v>
          </cell>
        </row>
        <row r="722">
          <cell r="C722">
            <v>1412116</v>
          </cell>
          <cell r="D722">
            <v>9</v>
          </cell>
          <cell r="H722">
            <v>0</v>
          </cell>
        </row>
        <row r="723">
          <cell r="C723" t="str">
            <v>SECTION</v>
          </cell>
          <cell r="D723">
            <v>1412117</v>
          </cell>
          <cell r="H723">
            <v>31247820.323999997</v>
          </cell>
        </row>
        <row r="724">
          <cell r="C724">
            <v>1412117</v>
          </cell>
          <cell r="D724">
            <v>1</v>
          </cell>
          <cell r="H724">
            <v>20747819.999999996</v>
          </cell>
        </row>
        <row r="725">
          <cell r="C725">
            <v>1412117</v>
          </cell>
          <cell r="D725">
            <v>2</v>
          </cell>
          <cell r="H725">
            <v>10500000.324000001</v>
          </cell>
        </row>
        <row r="726">
          <cell r="C726">
            <v>1412117</v>
          </cell>
          <cell r="D726">
            <v>3</v>
          </cell>
          <cell r="H726">
            <v>0</v>
          </cell>
        </row>
        <row r="727">
          <cell r="C727">
            <v>1412117</v>
          </cell>
          <cell r="D727">
            <v>4</v>
          </cell>
          <cell r="H727">
            <v>0</v>
          </cell>
        </row>
        <row r="728">
          <cell r="C728">
            <v>1412117</v>
          </cell>
          <cell r="D728">
            <v>5</v>
          </cell>
          <cell r="H728">
            <v>0</v>
          </cell>
        </row>
        <row r="729">
          <cell r="C729">
            <v>1412117</v>
          </cell>
          <cell r="D729">
            <v>7</v>
          </cell>
          <cell r="H729">
            <v>0</v>
          </cell>
        </row>
        <row r="730">
          <cell r="C730">
            <v>1412117</v>
          </cell>
          <cell r="D730">
            <v>9</v>
          </cell>
          <cell r="H730">
            <v>0</v>
          </cell>
        </row>
        <row r="731">
          <cell r="C731" t="str">
            <v>SECTION</v>
          </cell>
          <cell r="D731">
            <v>1412118</v>
          </cell>
          <cell r="H731">
            <v>58374420.539999999</v>
          </cell>
        </row>
        <row r="732">
          <cell r="C732">
            <v>1412118</v>
          </cell>
          <cell r="D732">
            <v>1</v>
          </cell>
          <cell r="H732">
            <v>40273992</v>
          </cell>
        </row>
        <row r="733">
          <cell r="C733">
            <v>1412118</v>
          </cell>
          <cell r="D733">
            <v>2</v>
          </cell>
          <cell r="H733">
            <v>18100428.539999999</v>
          </cell>
        </row>
        <row r="734">
          <cell r="C734">
            <v>1412118</v>
          </cell>
          <cell r="D734">
            <v>3</v>
          </cell>
          <cell r="H734">
            <v>0</v>
          </cell>
        </row>
        <row r="735">
          <cell r="C735">
            <v>1412118</v>
          </cell>
          <cell r="D735">
            <v>4</v>
          </cell>
          <cell r="H735">
            <v>0</v>
          </cell>
        </row>
        <row r="736">
          <cell r="C736">
            <v>1412118</v>
          </cell>
          <cell r="D736">
            <v>5</v>
          </cell>
          <cell r="H736">
            <v>0</v>
          </cell>
        </row>
        <row r="737">
          <cell r="C737">
            <v>1412118</v>
          </cell>
          <cell r="D737">
            <v>7</v>
          </cell>
          <cell r="H737">
            <v>0</v>
          </cell>
        </row>
        <row r="738">
          <cell r="C738">
            <v>1412118</v>
          </cell>
          <cell r="D738">
            <v>9</v>
          </cell>
          <cell r="H738">
            <v>0</v>
          </cell>
        </row>
        <row r="739">
          <cell r="C739" t="str">
            <v>SECTION</v>
          </cell>
          <cell r="D739">
            <v>1412119</v>
          </cell>
          <cell r="H739">
            <v>160784641</v>
          </cell>
        </row>
        <row r="740">
          <cell r="C740">
            <v>1412119</v>
          </cell>
          <cell r="D740">
            <v>1</v>
          </cell>
          <cell r="H740">
            <v>141551652</v>
          </cell>
        </row>
        <row r="741">
          <cell r="C741">
            <v>1412119</v>
          </cell>
          <cell r="D741">
            <v>2</v>
          </cell>
          <cell r="H741">
            <v>19232989</v>
          </cell>
        </row>
        <row r="742">
          <cell r="C742">
            <v>1412119</v>
          </cell>
          <cell r="D742">
            <v>3</v>
          </cell>
          <cell r="H742">
            <v>0</v>
          </cell>
        </row>
        <row r="743">
          <cell r="C743">
            <v>1412119</v>
          </cell>
          <cell r="D743">
            <v>4</v>
          </cell>
          <cell r="H743">
            <v>0</v>
          </cell>
        </row>
        <row r="744">
          <cell r="C744">
            <v>1412119</v>
          </cell>
          <cell r="D744">
            <v>5</v>
          </cell>
          <cell r="H744">
            <v>0</v>
          </cell>
        </row>
        <row r="745">
          <cell r="C745">
            <v>1412119</v>
          </cell>
          <cell r="D745">
            <v>7</v>
          </cell>
          <cell r="H745">
            <v>0</v>
          </cell>
        </row>
        <row r="746">
          <cell r="C746">
            <v>1412119</v>
          </cell>
          <cell r="D746">
            <v>9</v>
          </cell>
          <cell r="H746">
            <v>0</v>
          </cell>
        </row>
        <row r="747">
          <cell r="C747" t="str">
            <v>SECTION</v>
          </cell>
          <cell r="D747">
            <v>1412123</v>
          </cell>
          <cell r="H747">
            <v>262262999.95999998</v>
          </cell>
        </row>
        <row r="748">
          <cell r="C748">
            <v>1412123</v>
          </cell>
          <cell r="D748">
            <v>2</v>
          </cell>
          <cell r="H748">
            <v>262262999.95999998</v>
          </cell>
        </row>
        <row r="749">
          <cell r="C749" t="str">
            <v>SECTION</v>
          </cell>
          <cell r="D749">
            <v>1412124</v>
          </cell>
          <cell r="H749">
            <v>59563876</v>
          </cell>
        </row>
        <row r="750">
          <cell r="C750">
            <v>1412124</v>
          </cell>
          <cell r="D750">
            <v>1</v>
          </cell>
          <cell r="H750">
            <v>27512559.800000004</v>
          </cell>
        </row>
        <row r="751">
          <cell r="C751">
            <v>1412124</v>
          </cell>
          <cell r="D751">
            <v>2</v>
          </cell>
          <cell r="H751">
            <v>32051316.199999999</v>
          </cell>
        </row>
        <row r="752">
          <cell r="C752">
            <v>1412124</v>
          </cell>
          <cell r="D752">
            <v>7</v>
          </cell>
          <cell r="H752">
            <v>0</v>
          </cell>
        </row>
        <row r="753">
          <cell r="C753" t="str">
            <v>SECTION</v>
          </cell>
          <cell r="D753">
            <v>1412125</v>
          </cell>
          <cell r="H753">
            <v>48034629</v>
          </cell>
        </row>
        <row r="754">
          <cell r="C754">
            <v>1412125</v>
          </cell>
          <cell r="D754">
            <v>1</v>
          </cell>
          <cell r="H754">
            <v>23083104.900000002</v>
          </cell>
        </row>
        <row r="755">
          <cell r="C755">
            <v>1412125</v>
          </cell>
          <cell r="D755">
            <v>2</v>
          </cell>
          <cell r="H755">
            <v>24951524.100000001</v>
          </cell>
        </row>
        <row r="756">
          <cell r="C756">
            <v>1412125</v>
          </cell>
          <cell r="D756">
            <v>7</v>
          </cell>
          <cell r="H756">
            <v>0</v>
          </cell>
        </row>
        <row r="757">
          <cell r="C757" t="str">
            <v>MIN</v>
          </cell>
          <cell r="D757">
            <v>1413</v>
          </cell>
          <cell r="H757">
            <v>337227446.41999996</v>
          </cell>
        </row>
        <row r="758">
          <cell r="C758" t="str">
            <v>chap</v>
          </cell>
          <cell r="D758">
            <v>14131</v>
          </cell>
          <cell r="H758">
            <v>337227446.41999996</v>
          </cell>
        </row>
        <row r="759">
          <cell r="C759" t="str">
            <v>SECTION</v>
          </cell>
          <cell r="D759">
            <v>1413111</v>
          </cell>
          <cell r="H759">
            <v>27986498.909999996</v>
          </cell>
        </row>
        <row r="760">
          <cell r="C760">
            <v>1413111</v>
          </cell>
          <cell r="D760">
            <v>1</v>
          </cell>
          <cell r="H760">
            <v>6596751.1399999978</v>
          </cell>
        </row>
        <row r="761">
          <cell r="C761">
            <v>1413111</v>
          </cell>
          <cell r="D761">
            <v>2</v>
          </cell>
          <cell r="H761">
            <v>9929622.9299999997</v>
          </cell>
        </row>
        <row r="762">
          <cell r="C762">
            <v>1413111</v>
          </cell>
          <cell r="D762">
            <v>3</v>
          </cell>
          <cell r="H762">
            <v>6665999.2200000007</v>
          </cell>
        </row>
        <row r="763">
          <cell r="C763">
            <v>1413111</v>
          </cell>
          <cell r="D763">
            <v>4</v>
          </cell>
          <cell r="H763">
            <v>1.1600000001490116</v>
          </cell>
        </row>
        <row r="764">
          <cell r="C764">
            <v>1413111</v>
          </cell>
          <cell r="D764">
            <v>5</v>
          </cell>
          <cell r="H764">
            <v>987303.04</v>
          </cell>
        </row>
        <row r="765">
          <cell r="C765">
            <v>1413111</v>
          </cell>
          <cell r="D765">
            <v>7</v>
          </cell>
          <cell r="H765">
            <v>0</v>
          </cell>
        </row>
        <row r="766">
          <cell r="C766">
            <v>1413111</v>
          </cell>
          <cell r="D766">
            <v>9</v>
          </cell>
          <cell r="H766">
            <v>3806821.4199999995</v>
          </cell>
        </row>
        <row r="767">
          <cell r="C767" t="str">
            <v>SECTION</v>
          </cell>
          <cell r="D767">
            <v>1413112</v>
          </cell>
          <cell r="H767">
            <v>85213563</v>
          </cell>
        </row>
        <row r="768">
          <cell r="C768">
            <v>1413112</v>
          </cell>
          <cell r="D768">
            <v>1</v>
          </cell>
          <cell r="H768">
            <v>49799795</v>
          </cell>
        </row>
        <row r="769">
          <cell r="C769">
            <v>1413112</v>
          </cell>
          <cell r="D769">
            <v>2</v>
          </cell>
          <cell r="H769">
            <v>16945671.27</v>
          </cell>
        </row>
        <row r="770">
          <cell r="C770">
            <v>1413112</v>
          </cell>
          <cell r="D770">
            <v>3</v>
          </cell>
          <cell r="H770">
            <v>6561379.7799999993</v>
          </cell>
        </row>
        <row r="771">
          <cell r="C771">
            <v>1413112</v>
          </cell>
          <cell r="D771">
            <v>4</v>
          </cell>
          <cell r="H771">
            <v>6906716.379999999</v>
          </cell>
        </row>
        <row r="772">
          <cell r="C772">
            <v>1413112</v>
          </cell>
          <cell r="D772">
            <v>5</v>
          </cell>
          <cell r="H772">
            <v>0</v>
          </cell>
        </row>
        <row r="773">
          <cell r="C773">
            <v>1413112</v>
          </cell>
          <cell r="D773">
            <v>7</v>
          </cell>
          <cell r="H773">
            <v>0</v>
          </cell>
        </row>
        <row r="774">
          <cell r="C774">
            <v>1413112</v>
          </cell>
          <cell r="D774">
            <v>9</v>
          </cell>
          <cell r="H774">
            <v>5000000.57</v>
          </cell>
        </row>
        <row r="775">
          <cell r="C775" t="str">
            <v>SECTION</v>
          </cell>
          <cell r="D775">
            <v>1413113</v>
          </cell>
          <cell r="H775">
            <v>150828501</v>
          </cell>
        </row>
        <row r="776">
          <cell r="C776">
            <v>1413113</v>
          </cell>
          <cell r="D776">
            <v>1</v>
          </cell>
          <cell r="H776">
            <v>116856148.47999999</v>
          </cell>
        </row>
        <row r="777">
          <cell r="C777">
            <v>1413113</v>
          </cell>
          <cell r="D777">
            <v>2</v>
          </cell>
          <cell r="H777">
            <v>33972352.520000003</v>
          </cell>
        </row>
        <row r="778">
          <cell r="C778">
            <v>1413113</v>
          </cell>
          <cell r="D778">
            <v>3</v>
          </cell>
          <cell r="H778">
            <v>0</v>
          </cell>
        </row>
        <row r="779">
          <cell r="C779">
            <v>1413113</v>
          </cell>
          <cell r="D779">
            <v>4</v>
          </cell>
          <cell r="H779">
            <v>0</v>
          </cell>
        </row>
        <row r="780">
          <cell r="C780">
            <v>1413113</v>
          </cell>
          <cell r="D780">
            <v>5</v>
          </cell>
          <cell r="H780">
            <v>0</v>
          </cell>
        </row>
        <row r="781">
          <cell r="C781">
            <v>1413113</v>
          </cell>
          <cell r="D781">
            <v>7</v>
          </cell>
          <cell r="H781">
            <v>0</v>
          </cell>
        </row>
        <row r="782">
          <cell r="C782">
            <v>1413113</v>
          </cell>
          <cell r="D782">
            <v>9</v>
          </cell>
          <cell r="H782">
            <v>0</v>
          </cell>
        </row>
        <row r="783">
          <cell r="C783" t="str">
            <v>SECTION</v>
          </cell>
          <cell r="D783">
            <v>1413114</v>
          </cell>
          <cell r="H783">
            <v>73198883.50999999</v>
          </cell>
        </row>
        <row r="784">
          <cell r="C784">
            <v>1413114</v>
          </cell>
          <cell r="D784">
            <v>1</v>
          </cell>
          <cell r="H784">
            <v>56685351.599999994</v>
          </cell>
        </row>
        <row r="785">
          <cell r="C785">
            <v>1413114</v>
          </cell>
          <cell r="D785">
            <v>2</v>
          </cell>
          <cell r="H785">
            <v>16513531.91</v>
          </cell>
        </row>
        <row r="786">
          <cell r="C786">
            <v>1413114</v>
          </cell>
          <cell r="D786">
            <v>3</v>
          </cell>
          <cell r="H786">
            <v>0</v>
          </cell>
        </row>
        <row r="787">
          <cell r="C787">
            <v>1413114</v>
          </cell>
          <cell r="D787">
            <v>4</v>
          </cell>
          <cell r="H787">
            <v>0</v>
          </cell>
        </row>
        <row r="788">
          <cell r="C788">
            <v>1413114</v>
          </cell>
          <cell r="D788">
            <v>5</v>
          </cell>
          <cell r="H788">
            <v>0</v>
          </cell>
        </row>
        <row r="789">
          <cell r="C789">
            <v>1413114</v>
          </cell>
          <cell r="D789">
            <v>7</v>
          </cell>
          <cell r="H789">
            <v>0</v>
          </cell>
        </row>
        <row r="790">
          <cell r="C790">
            <v>1413114</v>
          </cell>
          <cell r="D790">
            <v>9</v>
          </cell>
          <cell r="H790">
            <v>0</v>
          </cell>
        </row>
        <row r="791">
          <cell r="C791" t="str">
            <v>SECTEUR</v>
          </cell>
          <cell r="D791">
            <v>15</v>
          </cell>
          <cell r="H791">
            <v>25395595195.008331</v>
          </cell>
        </row>
        <row r="792">
          <cell r="C792" t="str">
            <v>MIN</v>
          </cell>
          <cell r="D792">
            <v>1511</v>
          </cell>
          <cell r="H792">
            <v>11167012571.653334</v>
          </cell>
        </row>
        <row r="793">
          <cell r="C793" t="str">
            <v>SECTION</v>
          </cell>
          <cell r="D793">
            <v>1511111</v>
          </cell>
          <cell r="H793">
            <v>2547889107</v>
          </cell>
        </row>
        <row r="794">
          <cell r="C794">
            <v>1511111</v>
          </cell>
          <cell r="D794">
            <v>7</v>
          </cell>
          <cell r="H794">
            <v>2547889107</v>
          </cell>
        </row>
        <row r="795">
          <cell r="C795" t="str">
            <v>SECTION</v>
          </cell>
          <cell r="D795">
            <v>1511113</v>
          </cell>
          <cell r="H795">
            <v>461075000</v>
          </cell>
        </row>
        <row r="796">
          <cell r="C796">
            <v>1511113</v>
          </cell>
          <cell r="D796">
            <v>7</v>
          </cell>
          <cell r="H796">
            <v>461075000</v>
          </cell>
        </row>
        <row r="797">
          <cell r="C797" t="str">
            <v>SECTION</v>
          </cell>
          <cell r="D797">
            <v>1511149</v>
          </cell>
          <cell r="H797">
            <v>8158048464.6533337</v>
          </cell>
        </row>
        <row r="798">
          <cell r="C798">
            <v>1511149</v>
          </cell>
          <cell r="D798">
            <v>4</v>
          </cell>
          <cell r="H798">
            <v>35000000</v>
          </cell>
        </row>
        <row r="799">
          <cell r="C799">
            <v>1511149</v>
          </cell>
          <cell r="D799">
            <v>5</v>
          </cell>
          <cell r="H799">
            <v>0</v>
          </cell>
        </row>
        <row r="800">
          <cell r="C800">
            <v>1511149</v>
          </cell>
          <cell r="D800">
            <v>7</v>
          </cell>
          <cell r="H800">
            <v>5061355560</v>
          </cell>
        </row>
        <row r="801">
          <cell r="C801">
            <v>1511149</v>
          </cell>
          <cell r="D801">
            <v>9</v>
          </cell>
          <cell r="H801">
            <v>3061692904.6533332</v>
          </cell>
        </row>
        <row r="802">
          <cell r="C802">
            <v>1511149</v>
          </cell>
          <cell r="D802">
            <v>1</v>
          </cell>
          <cell r="H802">
            <v>0</v>
          </cell>
        </row>
        <row r="803">
          <cell r="C803" t="str">
            <v>MIN</v>
          </cell>
          <cell r="D803">
            <v>1512</v>
          </cell>
          <cell r="H803">
            <v>14228582623.355</v>
          </cell>
        </row>
        <row r="804">
          <cell r="C804" t="str">
            <v>chap</v>
          </cell>
          <cell r="D804">
            <v>15121</v>
          </cell>
          <cell r="H804">
            <v>6612257153.5100002</v>
          </cell>
        </row>
        <row r="805">
          <cell r="C805" t="str">
            <v>SECTION</v>
          </cell>
          <cell r="D805">
            <v>1512111</v>
          </cell>
          <cell r="H805">
            <v>1100000000</v>
          </cell>
        </row>
        <row r="806">
          <cell r="C806">
            <v>1512111</v>
          </cell>
          <cell r="D806">
            <v>2</v>
          </cell>
          <cell r="H806">
            <v>1100000000</v>
          </cell>
        </row>
        <row r="807">
          <cell r="C807" t="str">
            <v>SECTION</v>
          </cell>
          <cell r="D807">
            <v>1512112</v>
          </cell>
          <cell r="H807">
            <v>3268340224.8200002</v>
          </cell>
        </row>
        <row r="808">
          <cell r="C808">
            <v>1512112</v>
          </cell>
          <cell r="D808">
            <v>2</v>
          </cell>
          <cell r="H808">
            <v>380840224.82000011</v>
          </cell>
        </row>
        <row r="809">
          <cell r="C809">
            <v>1512112</v>
          </cell>
          <cell r="D809">
            <v>8</v>
          </cell>
          <cell r="H809">
            <v>2887500000</v>
          </cell>
        </row>
        <row r="810">
          <cell r="C810" t="str">
            <v>SECTION</v>
          </cell>
          <cell r="D810">
            <v>1512113</v>
          </cell>
          <cell r="H810">
            <v>2243916928.6900001</v>
          </cell>
        </row>
        <row r="811">
          <cell r="C811">
            <v>1512113</v>
          </cell>
          <cell r="D811">
            <v>2</v>
          </cell>
          <cell r="H811">
            <v>60583595.329999998</v>
          </cell>
        </row>
        <row r="812">
          <cell r="C812">
            <v>1512113</v>
          </cell>
          <cell r="D812">
            <v>8</v>
          </cell>
          <cell r="H812">
            <v>2183333333.3600001</v>
          </cell>
        </row>
        <row r="813">
          <cell r="C813" t="str">
            <v>chap</v>
          </cell>
          <cell r="D813">
            <v>15122</v>
          </cell>
          <cell r="H813">
            <v>7616325469.8449993</v>
          </cell>
        </row>
        <row r="814">
          <cell r="C814" t="str">
            <v>SECTION</v>
          </cell>
          <cell r="D814">
            <v>1512211</v>
          </cell>
          <cell r="H814">
            <v>251266514.50375003</v>
          </cell>
        </row>
        <row r="815">
          <cell r="C815">
            <v>1512211</v>
          </cell>
          <cell r="D815">
            <v>2</v>
          </cell>
          <cell r="H815">
            <v>90719303.700000003</v>
          </cell>
        </row>
        <row r="816">
          <cell r="C816">
            <v>1512211</v>
          </cell>
          <cell r="D816">
            <v>8</v>
          </cell>
          <cell r="H816">
            <v>160547210.80375001</v>
          </cell>
        </row>
        <row r="817">
          <cell r="C817" t="str">
            <v>SECTION</v>
          </cell>
          <cell r="D817">
            <v>1512212</v>
          </cell>
          <cell r="H817">
            <v>7365058955.3412495</v>
          </cell>
        </row>
        <row r="818">
          <cell r="C818">
            <v>1512212</v>
          </cell>
          <cell r="D818">
            <v>2</v>
          </cell>
          <cell r="H818">
            <v>1478372581.5</v>
          </cell>
        </row>
        <row r="819">
          <cell r="C819">
            <v>1512212</v>
          </cell>
          <cell r="D819">
            <v>8</v>
          </cell>
          <cell r="H819">
            <v>5886686373.8412495</v>
          </cell>
        </row>
        <row r="820">
          <cell r="C820" t="str">
            <v>SECTION</v>
          </cell>
          <cell r="D820">
            <v>1512213</v>
          </cell>
          <cell r="H820">
            <v>0</v>
          </cell>
        </row>
        <row r="821">
          <cell r="C821">
            <v>1512213</v>
          </cell>
          <cell r="D821">
            <v>8</v>
          </cell>
          <cell r="H821">
            <v>0</v>
          </cell>
        </row>
        <row r="822">
          <cell r="C822" t="str">
            <v>POUVOIR</v>
          </cell>
          <cell r="D822">
            <v>2</v>
          </cell>
          <cell r="H822">
            <v>5662643489.0344601</v>
          </cell>
        </row>
        <row r="823">
          <cell r="C823" t="str">
            <v>MIN</v>
          </cell>
          <cell r="D823">
            <v>2211</v>
          </cell>
          <cell r="H823">
            <v>2030859901.1819997</v>
          </cell>
        </row>
        <row r="824">
          <cell r="C824" t="str">
            <v>chap</v>
          </cell>
          <cell r="D824">
            <v>22111</v>
          </cell>
          <cell r="H824">
            <v>2030859901.1819997</v>
          </cell>
        </row>
        <row r="825">
          <cell r="C825" t="str">
            <v>SECTION</v>
          </cell>
          <cell r="D825">
            <v>2211111</v>
          </cell>
          <cell r="H825">
            <v>2030859901.1819997</v>
          </cell>
        </row>
        <row r="826">
          <cell r="C826">
            <v>2211111</v>
          </cell>
          <cell r="D826">
            <v>1</v>
          </cell>
          <cell r="H826">
            <v>1220509900.4399998</v>
          </cell>
        </row>
        <row r="827">
          <cell r="C827">
            <v>2211111</v>
          </cell>
          <cell r="D827">
            <v>2</v>
          </cell>
          <cell r="H827">
            <v>219350000.21499997</v>
          </cell>
        </row>
        <row r="828">
          <cell r="C828">
            <v>2211111</v>
          </cell>
          <cell r="D828">
            <v>3</v>
          </cell>
          <cell r="H828">
            <v>181500000.303</v>
          </cell>
        </row>
        <row r="829">
          <cell r="C829">
            <v>2211111</v>
          </cell>
          <cell r="D829">
            <v>4</v>
          </cell>
          <cell r="H829">
            <v>113500000.25400001</v>
          </cell>
        </row>
        <row r="830">
          <cell r="C830">
            <v>2211111</v>
          </cell>
          <cell r="D830">
            <v>5</v>
          </cell>
          <cell r="H830">
            <v>1000000</v>
          </cell>
        </row>
        <row r="831">
          <cell r="C831">
            <v>2211111</v>
          </cell>
          <cell r="D831">
            <v>7</v>
          </cell>
          <cell r="H831">
            <v>263000000</v>
          </cell>
        </row>
        <row r="832">
          <cell r="C832">
            <v>2211111</v>
          </cell>
          <cell r="D832">
            <v>9</v>
          </cell>
          <cell r="H832">
            <v>31999999.969999988</v>
          </cell>
        </row>
        <row r="833">
          <cell r="C833" t="str">
            <v>MIN</v>
          </cell>
          <cell r="D833">
            <v>2212</v>
          </cell>
          <cell r="H833">
            <v>3631783587.8524599</v>
          </cell>
        </row>
        <row r="834">
          <cell r="C834" t="str">
            <v>chap</v>
          </cell>
          <cell r="D834">
            <v>22121</v>
          </cell>
          <cell r="H834">
            <v>3631783587.8524599</v>
          </cell>
        </row>
        <row r="835">
          <cell r="C835" t="str">
            <v>SECTION</v>
          </cell>
          <cell r="D835">
            <v>2212111</v>
          </cell>
          <cell r="H835">
            <v>1560195459.9372699</v>
          </cell>
        </row>
        <row r="836">
          <cell r="C836">
            <v>2212111</v>
          </cell>
          <cell r="D836">
            <v>1</v>
          </cell>
          <cell r="H836">
            <v>1169534173.75881</v>
          </cell>
        </row>
        <row r="837">
          <cell r="C837">
            <v>2212111</v>
          </cell>
          <cell r="D837">
            <v>2</v>
          </cell>
          <cell r="H837">
            <v>157399572.20999998</v>
          </cell>
        </row>
        <row r="838">
          <cell r="C838">
            <v>2212111</v>
          </cell>
          <cell r="D838">
            <v>3</v>
          </cell>
          <cell r="H838">
            <v>229891713.65546</v>
          </cell>
        </row>
        <row r="839">
          <cell r="C839">
            <v>2212111</v>
          </cell>
          <cell r="D839">
            <v>4</v>
          </cell>
          <cell r="H839">
            <v>3369999.98</v>
          </cell>
        </row>
        <row r="840">
          <cell r="C840">
            <v>2212111</v>
          </cell>
          <cell r="D840">
            <v>5</v>
          </cell>
          <cell r="H840">
            <v>0</v>
          </cell>
        </row>
        <row r="841">
          <cell r="C841">
            <v>2212111</v>
          </cell>
          <cell r="D841">
            <v>7</v>
          </cell>
          <cell r="H841">
            <v>0</v>
          </cell>
        </row>
        <row r="842">
          <cell r="C842">
            <v>2212111</v>
          </cell>
          <cell r="D842">
            <v>9</v>
          </cell>
          <cell r="H842">
            <v>0.33300000000000007</v>
          </cell>
        </row>
        <row r="843">
          <cell r="C843" t="str">
            <v>SECTION</v>
          </cell>
          <cell r="D843">
            <v>2212112</v>
          </cell>
          <cell r="H843">
            <v>139520558.06954736</v>
          </cell>
        </row>
        <row r="844">
          <cell r="C844">
            <v>2212112</v>
          </cell>
          <cell r="D844">
            <v>1</v>
          </cell>
          <cell r="H844">
            <v>66230558.402547345</v>
          </cell>
        </row>
        <row r="845">
          <cell r="C845">
            <v>2212112</v>
          </cell>
          <cell r="D845">
            <v>2</v>
          </cell>
          <cell r="H845">
            <v>53700000</v>
          </cell>
        </row>
        <row r="846">
          <cell r="C846">
            <v>2212112</v>
          </cell>
          <cell r="D846">
            <v>3</v>
          </cell>
          <cell r="H846">
            <v>0</v>
          </cell>
        </row>
        <row r="847">
          <cell r="C847">
            <v>2212112</v>
          </cell>
          <cell r="D847">
            <v>4</v>
          </cell>
          <cell r="H847">
            <v>0</v>
          </cell>
        </row>
        <row r="848">
          <cell r="C848">
            <v>2212112</v>
          </cell>
          <cell r="D848">
            <v>5</v>
          </cell>
          <cell r="H848">
            <v>0</v>
          </cell>
        </row>
        <row r="849">
          <cell r="C849">
            <v>2212112</v>
          </cell>
          <cell r="D849">
            <v>7</v>
          </cell>
          <cell r="H849">
            <v>19590000</v>
          </cell>
        </row>
        <row r="850">
          <cell r="C850">
            <v>2212112</v>
          </cell>
          <cell r="D850">
            <v>9</v>
          </cell>
          <cell r="H850">
            <v>-0.33300001546740532</v>
          </cell>
        </row>
        <row r="851">
          <cell r="C851" t="str">
            <v>SECTION</v>
          </cell>
          <cell r="D851">
            <v>2212211</v>
          </cell>
          <cell r="H851">
            <v>1932067569.8456426</v>
          </cell>
        </row>
        <row r="852">
          <cell r="C852">
            <v>2212211</v>
          </cell>
          <cell r="D852">
            <v>1</v>
          </cell>
          <cell r="H852">
            <v>1047018579.8386426</v>
          </cell>
        </row>
        <row r="853">
          <cell r="C853">
            <v>2212211</v>
          </cell>
          <cell r="D853">
            <v>2</v>
          </cell>
          <cell r="H853">
            <v>156788195.78999999</v>
          </cell>
        </row>
        <row r="854">
          <cell r="C854">
            <v>2212211</v>
          </cell>
          <cell r="D854">
            <v>3</v>
          </cell>
          <cell r="H854">
            <v>123659131.87</v>
          </cell>
        </row>
        <row r="855">
          <cell r="C855">
            <v>2212211</v>
          </cell>
          <cell r="D855">
            <v>4</v>
          </cell>
          <cell r="H855">
            <v>41461674.680000022</v>
          </cell>
        </row>
        <row r="856">
          <cell r="C856">
            <v>2212211</v>
          </cell>
          <cell r="D856">
            <v>5</v>
          </cell>
          <cell r="H856">
            <v>2629988</v>
          </cell>
        </row>
        <row r="857">
          <cell r="C857">
            <v>2212211</v>
          </cell>
          <cell r="D857">
            <v>7</v>
          </cell>
          <cell r="H857">
            <v>560510000</v>
          </cell>
        </row>
        <row r="858">
          <cell r="C858">
            <v>2212211</v>
          </cell>
          <cell r="D858">
            <v>9</v>
          </cell>
          <cell r="H858">
            <v>-0.33300001546740532</v>
          </cell>
        </row>
        <row r="859">
          <cell r="C859" t="str">
            <v>POUVOIR</v>
          </cell>
          <cell r="D859">
            <v>3</v>
          </cell>
          <cell r="H859">
            <v>1107648802.5300002</v>
          </cell>
        </row>
        <row r="860">
          <cell r="C860" t="str">
            <v>MIN</v>
          </cell>
          <cell r="D860">
            <v>3211</v>
          </cell>
          <cell r="H860">
            <v>1107648802.5300002</v>
          </cell>
        </row>
        <row r="861">
          <cell r="C861" t="str">
            <v>chap</v>
          </cell>
          <cell r="D861">
            <v>32111</v>
          </cell>
          <cell r="H861">
            <v>1107648802.5300002</v>
          </cell>
        </row>
        <row r="862">
          <cell r="C862" t="str">
            <v>SECTION</v>
          </cell>
          <cell r="D862">
            <v>3211111</v>
          </cell>
          <cell r="H862">
            <v>214057886.745</v>
          </cell>
        </row>
        <row r="863">
          <cell r="C863">
            <v>3211111</v>
          </cell>
          <cell r="D863">
            <v>1</v>
          </cell>
          <cell r="H863">
            <v>127495021</v>
          </cell>
        </row>
        <row r="864">
          <cell r="C864">
            <v>3211111</v>
          </cell>
          <cell r="D864">
            <v>2</v>
          </cell>
          <cell r="H864">
            <v>16299999.864</v>
          </cell>
        </row>
        <row r="865">
          <cell r="C865">
            <v>3211111</v>
          </cell>
          <cell r="D865">
            <v>3</v>
          </cell>
          <cell r="H865">
            <v>15400000.74</v>
          </cell>
        </row>
        <row r="866">
          <cell r="C866">
            <v>3211111</v>
          </cell>
          <cell r="D866">
            <v>4</v>
          </cell>
          <cell r="H866">
            <v>8000000</v>
          </cell>
        </row>
        <row r="867">
          <cell r="C867">
            <v>3211111</v>
          </cell>
          <cell r="D867">
            <v>5</v>
          </cell>
          <cell r="H867">
            <v>0</v>
          </cell>
        </row>
        <row r="868">
          <cell r="C868">
            <v>3211111</v>
          </cell>
          <cell r="D868">
            <v>7</v>
          </cell>
          <cell r="H868">
            <v>500000</v>
          </cell>
        </row>
        <row r="869">
          <cell r="C869">
            <v>3211111</v>
          </cell>
          <cell r="D869">
            <v>9</v>
          </cell>
          <cell r="H869">
            <v>46362865.141000003</v>
          </cell>
        </row>
        <row r="870">
          <cell r="C870" t="str">
            <v>SECTION</v>
          </cell>
          <cell r="D870">
            <v>3211212</v>
          </cell>
          <cell r="H870">
            <v>137218574.41000003</v>
          </cell>
        </row>
        <row r="871">
          <cell r="C871">
            <v>3211212</v>
          </cell>
          <cell r="D871">
            <v>1</v>
          </cell>
          <cell r="H871">
            <v>83694529.320000023</v>
          </cell>
        </row>
        <row r="872">
          <cell r="C872">
            <v>3211212</v>
          </cell>
          <cell r="D872">
            <v>2</v>
          </cell>
          <cell r="H872">
            <v>13769127.520000003</v>
          </cell>
        </row>
        <row r="873">
          <cell r="C873">
            <v>3211212</v>
          </cell>
          <cell r="D873">
            <v>3</v>
          </cell>
          <cell r="H873">
            <v>15407695.789999997</v>
          </cell>
        </row>
        <row r="874">
          <cell r="C874">
            <v>3211212</v>
          </cell>
          <cell r="D874">
            <v>4</v>
          </cell>
          <cell r="H874">
            <v>15781393.719999999</v>
          </cell>
        </row>
        <row r="875">
          <cell r="C875">
            <v>3211212</v>
          </cell>
          <cell r="D875">
            <v>5</v>
          </cell>
          <cell r="H875">
            <v>0</v>
          </cell>
        </row>
        <row r="876">
          <cell r="C876">
            <v>3211212</v>
          </cell>
          <cell r="D876">
            <v>7</v>
          </cell>
          <cell r="H876">
            <v>664896.28</v>
          </cell>
        </row>
        <row r="877">
          <cell r="C877">
            <v>3211212</v>
          </cell>
          <cell r="D877">
            <v>9</v>
          </cell>
          <cell r="H877">
            <v>7900931.7800000003</v>
          </cell>
        </row>
        <row r="878">
          <cell r="C878" t="str">
            <v>SECTION</v>
          </cell>
          <cell r="D878">
            <v>3211213</v>
          </cell>
          <cell r="H878">
            <v>70002960.449000001</v>
          </cell>
        </row>
        <row r="879">
          <cell r="C879">
            <v>3211213</v>
          </cell>
          <cell r="D879">
            <v>1</v>
          </cell>
          <cell r="H879">
            <v>59040903.760000005</v>
          </cell>
        </row>
        <row r="880">
          <cell r="C880">
            <v>3211213</v>
          </cell>
          <cell r="D880">
            <v>2</v>
          </cell>
          <cell r="H880">
            <v>752045.60999999987</v>
          </cell>
        </row>
        <row r="881">
          <cell r="C881">
            <v>3211213</v>
          </cell>
          <cell r="D881">
            <v>3</v>
          </cell>
          <cell r="H881">
            <v>5008919.3389999997</v>
          </cell>
        </row>
        <row r="882">
          <cell r="C882">
            <v>3211213</v>
          </cell>
          <cell r="D882">
            <v>4</v>
          </cell>
          <cell r="H882">
            <v>4976734.74</v>
          </cell>
        </row>
        <row r="883">
          <cell r="C883">
            <v>3211213</v>
          </cell>
          <cell r="D883">
            <v>5</v>
          </cell>
          <cell r="H883">
            <v>0</v>
          </cell>
        </row>
        <row r="884">
          <cell r="C884">
            <v>3211213</v>
          </cell>
          <cell r="D884">
            <v>7</v>
          </cell>
          <cell r="H884">
            <v>0</v>
          </cell>
        </row>
        <row r="885">
          <cell r="C885">
            <v>3211213</v>
          </cell>
          <cell r="D885">
            <v>9</v>
          </cell>
          <cell r="H885">
            <v>224356.99999999953</v>
          </cell>
        </row>
        <row r="886">
          <cell r="C886" t="str">
            <v>SECTION</v>
          </cell>
          <cell r="D886">
            <v>3211214</v>
          </cell>
          <cell r="H886">
            <v>686369380.92600012</v>
          </cell>
        </row>
        <row r="887">
          <cell r="C887">
            <v>3211214</v>
          </cell>
          <cell r="D887">
            <v>1</v>
          </cell>
          <cell r="H887">
            <v>585855429.04999995</v>
          </cell>
        </row>
        <row r="888">
          <cell r="C888">
            <v>3211214</v>
          </cell>
          <cell r="D888">
            <v>2</v>
          </cell>
          <cell r="H888">
            <v>26074491.940000005</v>
          </cell>
        </row>
        <row r="889">
          <cell r="C889">
            <v>3211214</v>
          </cell>
          <cell r="D889">
            <v>3</v>
          </cell>
          <cell r="H889">
            <v>37639496.479999997</v>
          </cell>
        </row>
        <row r="890">
          <cell r="C890">
            <v>3211214</v>
          </cell>
          <cell r="D890">
            <v>4</v>
          </cell>
          <cell r="H890">
            <v>17999971.791999996</v>
          </cell>
        </row>
        <row r="891">
          <cell r="C891">
            <v>3211214</v>
          </cell>
          <cell r="D891">
            <v>5</v>
          </cell>
          <cell r="H891">
            <v>0</v>
          </cell>
        </row>
        <row r="892">
          <cell r="C892">
            <v>3211214</v>
          </cell>
          <cell r="D892">
            <v>7</v>
          </cell>
          <cell r="H892">
            <v>0</v>
          </cell>
        </row>
        <row r="893">
          <cell r="C893">
            <v>3211214</v>
          </cell>
          <cell r="D893">
            <v>9</v>
          </cell>
          <cell r="H893">
            <v>18799991.664000005</v>
          </cell>
        </row>
        <row r="894">
          <cell r="C894" t="str">
            <v>POUVOIR</v>
          </cell>
          <cell r="D894">
            <v>4</v>
          </cell>
          <cell r="H894">
            <v>2502636481.0379996</v>
          </cell>
        </row>
        <row r="895">
          <cell r="C895" t="str">
            <v>MIN</v>
          </cell>
          <cell r="D895">
            <v>4111</v>
          </cell>
          <cell r="H895">
            <v>693364543.5599997</v>
          </cell>
        </row>
        <row r="896">
          <cell r="C896" t="str">
            <v>chap</v>
          </cell>
          <cell r="D896">
            <v>41111</v>
          </cell>
          <cell r="H896">
            <v>693364543.5599997</v>
          </cell>
        </row>
        <row r="897">
          <cell r="C897" t="str">
            <v>SECTION</v>
          </cell>
          <cell r="D897">
            <v>4111111</v>
          </cell>
          <cell r="H897">
            <v>693364543.5599997</v>
          </cell>
        </row>
        <row r="898">
          <cell r="C898">
            <v>4111111</v>
          </cell>
          <cell r="D898">
            <v>1</v>
          </cell>
          <cell r="H898">
            <v>426550836.15999967</v>
          </cell>
        </row>
        <row r="899">
          <cell r="C899">
            <v>4111111</v>
          </cell>
          <cell r="D899">
            <v>2</v>
          </cell>
          <cell r="H899">
            <v>32257963.439999998</v>
          </cell>
        </row>
        <row r="900">
          <cell r="C900">
            <v>4111111</v>
          </cell>
          <cell r="D900">
            <v>3</v>
          </cell>
          <cell r="H900">
            <v>26211599.719999999</v>
          </cell>
        </row>
        <row r="901">
          <cell r="C901">
            <v>4111111</v>
          </cell>
          <cell r="D901">
            <v>4</v>
          </cell>
          <cell r="H901">
            <v>12205237.199999999</v>
          </cell>
        </row>
        <row r="902">
          <cell r="C902">
            <v>4111111</v>
          </cell>
          <cell r="D902">
            <v>5</v>
          </cell>
          <cell r="H902">
            <v>0</v>
          </cell>
        </row>
        <row r="903">
          <cell r="C903">
            <v>4111111</v>
          </cell>
          <cell r="D903">
            <v>7</v>
          </cell>
          <cell r="H903">
            <v>431157.12</v>
          </cell>
        </row>
        <row r="904">
          <cell r="C904">
            <v>4111111</v>
          </cell>
          <cell r="D904">
            <v>9</v>
          </cell>
          <cell r="H904">
            <v>195707749.92000002</v>
          </cell>
        </row>
        <row r="905">
          <cell r="C905" t="str">
            <v>MIN</v>
          </cell>
          <cell r="D905">
            <v>4211</v>
          </cell>
          <cell r="H905">
            <v>426240737.69999987</v>
          </cell>
        </row>
        <row r="906">
          <cell r="C906" t="str">
            <v>chap</v>
          </cell>
          <cell r="D906">
            <v>42111</v>
          </cell>
          <cell r="H906">
            <v>426240737.69999987</v>
          </cell>
        </row>
        <row r="907">
          <cell r="C907" t="str">
            <v>SECTION</v>
          </cell>
          <cell r="D907">
            <v>4211111</v>
          </cell>
          <cell r="H907">
            <v>426240737.69999987</v>
          </cell>
        </row>
        <row r="908">
          <cell r="C908">
            <v>4211111</v>
          </cell>
          <cell r="D908">
            <v>1</v>
          </cell>
          <cell r="H908">
            <v>307128594.99999988</v>
          </cell>
        </row>
        <row r="909">
          <cell r="C909">
            <v>4211111</v>
          </cell>
          <cell r="D909">
            <v>2</v>
          </cell>
          <cell r="H909">
            <v>15377953.000000002</v>
          </cell>
        </row>
        <row r="910">
          <cell r="C910">
            <v>4211111</v>
          </cell>
          <cell r="D910">
            <v>3</v>
          </cell>
          <cell r="H910">
            <v>13834200</v>
          </cell>
        </row>
        <row r="911">
          <cell r="C911">
            <v>4211111</v>
          </cell>
          <cell r="D911">
            <v>4</v>
          </cell>
          <cell r="H911">
            <v>9500001.6999999993</v>
          </cell>
        </row>
        <row r="912">
          <cell r="C912">
            <v>4211111</v>
          </cell>
          <cell r="D912">
            <v>5</v>
          </cell>
          <cell r="H912">
            <v>0</v>
          </cell>
        </row>
        <row r="913">
          <cell r="C913">
            <v>4211111</v>
          </cell>
          <cell r="D913">
            <v>7</v>
          </cell>
          <cell r="H913">
            <v>0</v>
          </cell>
        </row>
        <row r="914">
          <cell r="C914">
            <v>4211111</v>
          </cell>
          <cell r="D914">
            <v>9</v>
          </cell>
          <cell r="H914">
            <v>80399988.000000015</v>
          </cell>
        </row>
        <row r="915">
          <cell r="C915" t="str">
            <v>MIN</v>
          </cell>
          <cell r="D915">
            <v>4212</v>
          </cell>
          <cell r="H915">
            <v>55000000</v>
          </cell>
        </row>
        <row r="916">
          <cell r="C916" t="str">
            <v>chap</v>
          </cell>
          <cell r="D916">
            <v>42121</v>
          </cell>
          <cell r="H916">
            <v>55000000</v>
          </cell>
        </row>
        <row r="917">
          <cell r="C917" t="str">
            <v>SECTION</v>
          </cell>
          <cell r="D917">
            <v>4212112</v>
          </cell>
          <cell r="H917">
            <v>55000000</v>
          </cell>
        </row>
        <row r="918">
          <cell r="C918">
            <v>4212112</v>
          </cell>
          <cell r="D918">
            <v>1</v>
          </cell>
          <cell r="H918">
            <v>30499333.959999997</v>
          </cell>
        </row>
        <row r="919">
          <cell r="C919">
            <v>4212112</v>
          </cell>
          <cell r="D919">
            <v>2</v>
          </cell>
          <cell r="H919">
            <v>9305263.040000001</v>
          </cell>
        </row>
        <row r="920">
          <cell r="C920">
            <v>4212112</v>
          </cell>
          <cell r="D920">
            <v>3</v>
          </cell>
          <cell r="H920">
            <v>3570000</v>
          </cell>
        </row>
        <row r="921">
          <cell r="C921">
            <v>4212112</v>
          </cell>
          <cell r="D921">
            <v>4</v>
          </cell>
          <cell r="H921">
            <v>7175000.0000000009</v>
          </cell>
        </row>
        <row r="922">
          <cell r="C922">
            <v>4212112</v>
          </cell>
          <cell r="D922">
            <v>5</v>
          </cell>
          <cell r="H922">
            <v>0</v>
          </cell>
        </row>
        <row r="923">
          <cell r="C923">
            <v>4212112</v>
          </cell>
          <cell r="D923">
            <v>7</v>
          </cell>
          <cell r="H923">
            <v>0</v>
          </cell>
        </row>
        <row r="924">
          <cell r="C924">
            <v>4212112</v>
          </cell>
          <cell r="D924">
            <v>9</v>
          </cell>
          <cell r="H924">
            <v>4450403</v>
          </cell>
        </row>
        <row r="925">
          <cell r="C925" t="str">
            <v>MIN</v>
          </cell>
          <cell r="D925">
            <v>4311</v>
          </cell>
          <cell r="H925">
            <v>1292999999.7780001</v>
          </cell>
        </row>
        <row r="926">
          <cell r="C926" t="str">
            <v>chap</v>
          </cell>
          <cell r="D926">
            <v>43111</v>
          </cell>
          <cell r="H926">
            <v>1292999999.7780001</v>
          </cell>
        </row>
        <row r="927">
          <cell r="C927" t="str">
            <v>SECTION</v>
          </cell>
          <cell r="D927">
            <v>4311111</v>
          </cell>
          <cell r="H927">
            <v>1292999999.7780001</v>
          </cell>
        </row>
        <row r="928">
          <cell r="C928">
            <v>4311111</v>
          </cell>
          <cell r="D928">
            <v>1</v>
          </cell>
          <cell r="H928">
            <v>1062817342.7580001</v>
          </cell>
        </row>
        <row r="929">
          <cell r="C929">
            <v>4311111</v>
          </cell>
          <cell r="D929">
            <v>2</v>
          </cell>
          <cell r="H929">
            <v>230182657.02000004</v>
          </cell>
        </row>
        <row r="930">
          <cell r="C930">
            <v>4311111</v>
          </cell>
          <cell r="D930">
            <v>7</v>
          </cell>
          <cell r="H930">
            <v>0</v>
          </cell>
        </row>
        <row r="931">
          <cell r="C931" t="str">
            <v>MIN</v>
          </cell>
          <cell r="D931">
            <v>4411</v>
          </cell>
          <cell r="H931">
            <v>35031200</v>
          </cell>
        </row>
        <row r="932">
          <cell r="C932" t="str">
            <v>chap</v>
          </cell>
          <cell r="D932">
            <v>44111</v>
          </cell>
          <cell r="H932">
            <v>35031200</v>
          </cell>
        </row>
        <row r="933">
          <cell r="C933" t="str">
            <v>SECTION</v>
          </cell>
          <cell r="D933">
            <v>4411111</v>
          </cell>
          <cell r="H933">
            <v>35031200</v>
          </cell>
        </row>
        <row r="934">
          <cell r="C934">
            <v>4411111</v>
          </cell>
          <cell r="D934">
            <v>1</v>
          </cell>
          <cell r="H934">
            <v>20063858.330000002</v>
          </cell>
        </row>
        <row r="935">
          <cell r="C935">
            <v>4411111</v>
          </cell>
          <cell r="D935">
            <v>2</v>
          </cell>
          <cell r="H935">
            <v>14967341.669999998</v>
          </cell>
        </row>
        <row r="936">
          <cell r="C936">
            <v>4411111</v>
          </cell>
          <cell r="D936">
            <v>7</v>
          </cell>
          <cell r="H93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view="pageBreakPreview" zoomScaleNormal="100" zoomScaleSheetLayoutView="100" workbookViewId="0">
      <selection activeCell="Q1" sqref="Q1"/>
    </sheetView>
  </sheetViews>
  <sheetFormatPr defaultColWidth="11.42578125" defaultRowHeight="15" x14ac:dyDescent="0.25"/>
  <cols>
    <col min="1" max="1" width="33.5703125" style="154" customWidth="1"/>
    <col min="2" max="2" width="18.140625" style="267" customWidth="1"/>
    <col min="3" max="3" width="18.7109375" style="267" hidden="1" customWidth="1"/>
    <col min="4" max="4" width="18.28515625" style="267" hidden="1" customWidth="1"/>
    <col min="5" max="5" width="16.140625" style="267" hidden="1" customWidth="1"/>
    <col min="6" max="6" width="16.28515625" style="267" hidden="1" customWidth="1"/>
    <col min="7" max="7" width="17.140625" style="267" hidden="1" customWidth="1"/>
    <col min="8" max="9" width="16" style="267" hidden="1" customWidth="1"/>
    <col min="10" max="10" width="15.85546875" style="267" hidden="1" customWidth="1"/>
    <col min="11" max="13" width="16" style="267" hidden="1" customWidth="1"/>
    <col min="14" max="14" width="15.7109375" style="267" hidden="1" customWidth="1"/>
    <col min="15" max="15" width="17" style="267" hidden="1" customWidth="1"/>
    <col min="16" max="16" width="16.42578125" style="267" hidden="1" customWidth="1"/>
    <col min="17" max="17" width="17.5703125" style="267" customWidth="1"/>
    <col min="18" max="18" width="17.7109375" style="267" customWidth="1"/>
    <col min="19" max="19" width="0.140625" style="267" customWidth="1"/>
    <col min="20" max="20" width="12.140625" style="267" customWidth="1"/>
    <col min="21" max="21" width="12.5703125" style="267" hidden="1" customWidth="1"/>
    <col min="22" max="22" width="13.7109375" style="268" customWidth="1"/>
    <col min="23" max="23" width="19.42578125" style="154" customWidth="1"/>
    <col min="24" max="24" width="19.85546875" style="154" bestFit="1" customWidth="1"/>
    <col min="25" max="25" width="16.5703125" style="156" bestFit="1" customWidth="1"/>
    <col min="26" max="26" width="16.7109375" style="154" customWidth="1"/>
    <col min="27" max="27" width="10.7109375" style="154" bestFit="1" customWidth="1"/>
    <col min="28" max="28" width="11.140625" style="154" bestFit="1" customWidth="1"/>
    <col min="29" max="270" width="11.42578125" style="154"/>
    <col min="271" max="271" width="37.7109375" style="154" customWidth="1"/>
    <col min="272" max="272" width="21" style="154" customWidth="1"/>
    <col min="273" max="273" width="18.140625" style="154" customWidth="1"/>
    <col min="274" max="276" width="17.7109375" style="154" customWidth="1"/>
    <col min="277" max="278" width="18.140625" style="154" customWidth="1"/>
    <col min="279" max="279" width="11.42578125" style="154" customWidth="1"/>
    <col min="280" max="280" width="19.85546875" style="154" bestFit="1" customWidth="1"/>
    <col min="281" max="281" width="12.7109375" style="154" bestFit="1" customWidth="1"/>
    <col min="282" max="282" width="11.42578125" style="154" customWidth="1"/>
    <col min="283" max="283" width="10.7109375" style="154" bestFit="1" customWidth="1"/>
    <col min="284" max="284" width="11.140625" style="154" bestFit="1" customWidth="1"/>
    <col min="285" max="526" width="11.42578125" style="154"/>
    <col min="527" max="527" width="37.7109375" style="154" customWidth="1"/>
    <col min="528" max="528" width="21" style="154" customWidth="1"/>
    <col min="529" max="529" width="18.140625" style="154" customWidth="1"/>
    <col min="530" max="532" width="17.7109375" style="154" customWidth="1"/>
    <col min="533" max="534" width="18.140625" style="154" customWidth="1"/>
    <col min="535" max="535" width="11.42578125" style="154" customWidth="1"/>
    <col min="536" max="536" width="19.85546875" style="154" bestFit="1" customWidth="1"/>
    <col min="537" max="537" width="12.7109375" style="154" bestFit="1" customWidth="1"/>
    <col min="538" max="538" width="11.42578125" style="154" customWidth="1"/>
    <col min="539" max="539" width="10.7109375" style="154" bestFit="1" customWidth="1"/>
    <col min="540" max="540" width="11.140625" style="154" bestFit="1" customWidth="1"/>
    <col min="541" max="782" width="11.42578125" style="154"/>
    <col min="783" max="783" width="37.7109375" style="154" customWidth="1"/>
    <col min="784" max="784" width="21" style="154" customWidth="1"/>
    <col min="785" max="785" width="18.140625" style="154" customWidth="1"/>
    <col min="786" max="788" width="17.7109375" style="154" customWidth="1"/>
    <col min="789" max="790" width="18.140625" style="154" customWidth="1"/>
    <col min="791" max="791" width="11.42578125" style="154" customWidth="1"/>
    <col min="792" max="792" width="19.85546875" style="154" bestFit="1" customWidth="1"/>
    <col min="793" max="793" width="12.7109375" style="154" bestFit="1" customWidth="1"/>
    <col min="794" max="794" width="11.42578125" style="154" customWidth="1"/>
    <col min="795" max="795" width="10.7109375" style="154" bestFit="1" customWidth="1"/>
    <col min="796" max="796" width="11.140625" style="154" bestFit="1" customWidth="1"/>
    <col min="797" max="1038" width="11.42578125" style="154"/>
    <col min="1039" max="1039" width="37.7109375" style="154" customWidth="1"/>
    <col min="1040" max="1040" width="21" style="154" customWidth="1"/>
    <col min="1041" max="1041" width="18.140625" style="154" customWidth="1"/>
    <col min="1042" max="1044" width="17.7109375" style="154" customWidth="1"/>
    <col min="1045" max="1046" width="18.140625" style="154" customWidth="1"/>
    <col min="1047" max="1047" width="11.42578125" style="154" customWidth="1"/>
    <col min="1048" max="1048" width="19.85546875" style="154" bestFit="1" customWidth="1"/>
    <col min="1049" max="1049" width="12.7109375" style="154" bestFit="1" customWidth="1"/>
    <col min="1050" max="1050" width="11.42578125" style="154" customWidth="1"/>
    <col min="1051" max="1051" width="10.7109375" style="154" bestFit="1" customWidth="1"/>
    <col min="1052" max="1052" width="11.140625" style="154" bestFit="1" customWidth="1"/>
    <col min="1053" max="1294" width="11.42578125" style="154"/>
    <col min="1295" max="1295" width="37.7109375" style="154" customWidth="1"/>
    <col min="1296" max="1296" width="21" style="154" customWidth="1"/>
    <col min="1297" max="1297" width="18.140625" style="154" customWidth="1"/>
    <col min="1298" max="1300" width="17.7109375" style="154" customWidth="1"/>
    <col min="1301" max="1302" width="18.140625" style="154" customWidth="1"/>
    <col min="1303" max="1303" width="11.42578125" style="154" customWidth="1"/>
    <col min="1304" max="1304" width="19.85546875" style="154" bestFit="1" customWidth="1"/>
    <col min="1305" max="1305" width="12.7109375" style="154" bestFit="1" customWidth="1"/>
    <col min="1306" max="1306" width="11.42578125" style="154" customWidth="1"/>
    <col min="1307" max="1307" width="10.7109375" style="154" bestFit="1" customWidth="1"/>
    <col min="1308" max="1308" width="11.140625" style="154" bestFit="1" customWidth="1"/>
    <col min="1309" max="1550" width="11.42578125" style="154"/>
    <col min="1551" max="1551" width="37.7109375" style="154" customWidth="1"/>
    <col min="1552" max="1552" width="21" style="154" customWidth="1"/>
    <col min="1553" max="1553" width="18.140625" style="154" customWidth="1"/>
    <col min="1554" max="1556" width="17.7109375" style="154" customWidth="1"/>
    <col min="1557" max="1558" width="18.140625" style="154" customWidth="1"/>
    <col min="1559" max="1559" width="11.42578125" style="154" customWidth="1"/>
    <col min="1560" max="1560" width="19.85546875" style="154" bestFit="1" customWidth="1"/>
    <col min="1561" max="1561" width="12.7109375" style="154" bestFit="1" customWidth="1"/>
    <col min="1562" max="1562" width="11.42578125" style="154" customWidth="1"/>
    <col min="1563" max="1563" width="10.7109375" style="154" bestFit="1" customWidth="1"/>
    <col min="1564" max="1564" width="11.140625" style="154" bestFit="1" customWidth="1"/>
    <col min="1565" max="1806" width="11.42578125" style="154"/>
    <col min="1807" max="1807" width="37.7109375" style="154" customWidth="1"/>
    <col min="1808" max="1808" width="21" style="154" customWidth="1"/>
    <col min="1809" max="1809" width="18.140625" style="154" customWidth="1"/>
    <col min="1810" max="1812" width="17.7109375" style="154" customWidth="1"/>
    <col min="1813" max="1814" width="18.140625" style="154" customWidth="1"/>
    <col min="1815" max="1815" width="11.42578125" style="154" customWidth="1"/>
    <col min="1816" max="1816" width="19.85546875" style="154" bestFit="1" customWidth="1"/>
    <col min="1817" max="1817" width="12.7109375" style="154" bestFit="1" customWidth="1"/>
    <col min="1818" max="1818" width="11.42578125" style="154" customWidth="1"/>
    <col min="1819" max="1819" width="10.7109375" style="154" bestFit="1" customWidth="1"/>
    <col min="1820" max="1820" width="11.140625" style="154" bestFit="1" customWidth="1"/>
    <col min="1821" max="2062" width="11.42578125" style="154"/>
    <col min="2063" max="2063" width="37.7109375" style="154" customWidth="1"/>
    <col min="2064" max="2064" width="21" style="154" customWidth="1"/>
    <col min="2065" max="2065" width="18.140625" style="154" customWidth="1"/>
    <col min="2066" max="2068" width="17.7109375" style="154" customWidth="1"/>
    <col min="2069" max="2070" width="18.140625" style="154" customWidth="1"/>
    <col min="2071" max="2071" width="11.42578125" style="154" customWidth="1"/>
    <col min="2072" max="2072" width="19.85546875" style="154" bestFit="1" customWidth="1"/>
    <col min="2073" max="2073" width="12.7109375" style="154" bestFit="1" customWidth="1"/>
    <col min="2074" max="2074" width="11.42578125" style="154" customWidth="1"/>
    <col min="2075" max="2075" width="10.7109375" style="154" bestFit="1" customWidth="1"/>
    <col min="2076" max="2076" width="11.140625" style="154" bestFit="1" customWidth="1"/>
    <col min="2077" max="2318" width="11.42578125" style="154"/>
    <col min="2319" max="2319" width="37.7109375" style="154" customWidth="1"/>
    <col min="2320" max="2320" width="21" style="154" customWidth="1"/>
    <col min="2321" max="2321" width="18.140625" style="154" customWidth="1"/>
    <col min="2322" max="2324" width="17.7109375" style="154" customWidth="1"/>
    <col min="2325" max="2326" width="18.140625" style="154" customWidth="1"/>
    <col min="2327" max="2327" width="11.42578125" style="154" customWidth="1"/>
    <col min="2328" max="2328" width="19.85546875" style="154" bestFit="1" customWidth="1"/>
    <col min="2329" max="2329" width="12.7109375" style="154" bestFit="1" customWidth="1"/>
    <col min="2330" max="2330" width="11.42578125" style="154" customWidth="1"/>
    <col min="2331" max="2331" width="10.7109375" style="154" bestFit="1" customWidth="1"/>
    <col min="2332" max="2332" width="11.140625" style="154" bestFit="1" customWidth="1"/>
    <col min="2333" max="2574" width="11.42578125" style="154"/>
    <col min="2575" max="2575" width="37.7109375" style="154" customWidth="1"/>
    <col min="2576" max="2576" width="21" style="154" customWidth="1"/>
    <col min="2577" max="2577" width="18.140625" style="154" customWidth="1"/>
    <col min="2578" max="2580" width="17.7109375" style="154" customWidth="1"/>
    <col min="2581" max="2582" width="18.140625" style="154" customWidth="1"/>
    <col min="2583" max="2583" width="11.42578125" style="154" customWidth="1"/>
    <col min="2584" max="2584" width="19.85546875" style="154" bestFit="1" customWidth="1"/>
    <col min="2585" max="2585" width="12.7109375" style="154" bestFit="1" customWidth="1"/>
    <col min="2586" max="2586" width="11.42578125" style="154" customWidth="1"/>
    <col min="2587" max="2587" width="10.7109375" style="154" bestFit="1" customWidth="1"/>
    <col min="2588" max="2588" width="11.140625" style="154" bestFit="1" customWidth="1"/>
    <col min="2589" max="2830" width="11.42578125" style="154"/>
    <col min="2831" max="2831" width="37.7109375" style="154" customWidth="1"/>
    <col min="2832" max="2832" width="21" style="154" customWidth="1"/>
    <col min="2833" max="2833" width="18.140625" style="154" customWidth="1"/>
    <col min="2834" max="2836" width="17.7109375" style="154" customWidth="1"/>
    <col min="2837" max="2838" width="18.140625" style="154" customWidth="1"/>
    <col min="2839" max="2839" width="11.42578125" style="154" customWidth="1"/>
    <col min="2840" max="2840" width="19.85546875" style="154" bestFit="1" customWidth="1"/>
    <col min="2841" max="2841" width="12.7109375" style="154" bestFit="1" customWidth="1"/>
    <col min="2842" max="2842" width="11.42578125" style="154" customWidth="1"/>
    <col min="2843" max="2843" width="10.7109375" style="154" bestFit="1" customWidth="1"/>
    <col min="2844" max="2844" width="11.140625" style="154" bestFit="1" customWidth="1"/>
    <col min="2845" max="3086" width="11.42578125" style="154"/>
    <col min="3087" max="3087" width="37.7109375" style="154" customWidth="1"/>
    <col min="3088" max="3088" width="21" style="154" customWidth="1"/>
    <col min="3089" max="3089" width="18.140625" style="154" customWidth="1"/>
    <col min="3090" max="3092" width="17.7109375" style="154" customWidth="1"/>
    <col min="3093" max="3094" width="18.140625" style="154" customWidth="1"/>
    <col min="3095" max="3095" width="11.42578125" style="154" customWidth="1"/>
    <col min="3096" max="3096" width="19.85546875" style="154" bestFit="1" customWidth="1"/>
    <col min="3097" max="3097" width="12.7109375" style="154" bestFit="1" customWidth="1"/>
    <col min="3098" max="3098" width="11.42578125" style="154" customWidth="1"/>
    <col min="3099" max="3099" width="10.7109375" style="154" bestFit="1" customWidth="1"/>
    <col min="3100" max="3100" width="11.140625" style="154" bestFit="1" customWidth="1"/>
    <col min="3101" max="3342" width="11.42578125" style="154"/>
    <col min="3343" max="3343" width="37.7109375" style="154" customWidth="1"/>
    <col min="3344" max="3344" width="21" style="154" customWidth="1"/>
    <col min="3345" max="3345" width="18.140625" style="154" customWidth="1"/>
    <col min="3346" max="3348" width="17.7109375" style="154" customWidth="1"/>
    <col min="3349" max="3350" width="18.140625" style="154" customWidth="1"/>
    <col min="3351" max="3351" width="11.42578125" style="154" customWidth="1"/>
    <col min="3352" max="3352" width="19.85546875" style="154" bestFit="1" customWidth="1"/>
    <col min="3353" max="3353" width="12.7109375" style="154" bestFit="1" customWidth="1"/>
    <col min="3354" max="3354" width="11.42578125" style="154" customWidth="1"/>
    <col min="3355" max="3355" width="10.7109375" style="154" bestFit="1" customWidth="1"/>
    <col min="3356" max="3356" width="11.140625" style="154" bestFit="1" customWidth="1"/>
    <col min="3357" max="3598" width="11.42578125" style="154"/>
    <col min="3599" max="3599" width="37.7109375" style="154" customWidth="1"/>
    <col min="3600" max="3600" width="21" style="154" customWidth="1"/>
    <col min="3601" max="3601" width="18.140625" style="154" customWidth="1"/>
    <col min="3602" max="3604" width="17.7109375" style="154" customWidth="1"/>
    <col min="3605" max="3606" width="18.140625" style="154" customWidth="1"/>
    <col min="3607" max="3607" width="11.42578125" style="154" customWidth="1"/>
    <col min="3608" max="3608" width="19.85546875" style="154" bestFit="1" customWidth="1"/>
    <col min="3609" max="3609" width="12.7109375" style="154" bestFit="1" customWidth="1"/>
    <col min="3610" max="3610" width="11.42578125" style="154" customWidth="1"/>
    <col min="3611" max="3611" width="10.7109375" style="154" bestFit="1" customWidth="1"/>
    <col min="3612" max="3612" width="11.140625" style="154" bestFit="1" customWidth="1"/>
    <col min="3613" max="3854" width="11.42578125" style="154"/>
    <col min="3855" max="3855" width="37.7109375" style="154" customWidth="1"/>
    <col min="3856" max="3856" width="21" style="154" customWidth="1"/>
    <col min="3857" max="3857" width="18.140625" style="154" customWidth="1"/>
    <col min="3858" max="3860" width="17.7109375" style="154" customWidth="1"/>
    <col min="3861" max="3862" width="18.140625" style="154" customWidth="1"/>
    <col min="3863" max="3863" width="11.42578125" style="154" customWidth="1"/>
    <col min="3864" max="3864" width="19.85546875" style="154" bestFit="1" customWidth="1"/>
    <col min="3865" max="3865" width="12.7109375" style="154" bestFit="1" customWidth="1"/>
    <col min="3866" max="3866" width="11.42578125" style="154" customWidth="1"/>
    <col min="3867" max="3867" width="10.7109375" style="154" bestFit="1" customWidth="1"/>
    <col min="3868" max="3868" width="11.140625" style="154" bestFit="1" customWidth="1"/>
    <col min="3869" max="4110" width="11.42578125" style="154"/>
    <col min="4111" max="4111" width="37.7109375" style="154" customWidth="1"/>
    <col min="4112" max="4112" width="21" style="154" customWidth="1"/>
    <col min="4113" max="4113" width="18.140625" style="154" customWidth="1"/>
    <col min="4114" max="4116" width="17.7109375" style="154" customWidth="1"/>
    <col min="4117" max="4118" width="18.140625" style="154" customWidth="1"/>
    <col min="4119" max="4119" width="11.42578125" style="154" customWidth="1"/>
    <col min="4120" max="4120" width="19.85546875" style="154" bestFit="1" customWidth="1"/>
    <col min="4121" max="4121" width="12.7109375" style="154" bestFit="1" customWidth="1"/>
    <col min="4122" max="4122" width="11.42578125" style="154" customWidth="1"/>
    <col min="4123" max="4123" width="10.7109375" style="154" bestFit="1" customWidth="1"/>
    <col min="4124" max="4124" width="11.140625" style="154" bestFit="1" customWidth="1"/>
    <col min="4125" max="4366" width="11.42578125" style="154"/>
    <col min="4367" max="4367" width="37.7109375" style="154" customWidth="1"/>
    <col min="4368" max="4368" width="21" style="154" customWidth="1"/>
    <col min="4369" max="4369" width="18.140625" style="154" customWidth="1"/>
    <col min="4370" max="4372" width="17.7109375" style="154" customWidth="1"/>
    <col min="4373" max="4374" width="18.140625" style="154" customWidth="1"/>
    <col min="4375" max="4375" width="11.42578125" style="154" customWidth="1"/>
    <col min="4376" max="4376" width="19.85546875" style="154" bestFit="1" customWidth="1"/>
    <col min="4377" max="4377" width="12.7109375" style="154" bestFit="1" customWidth="1"/>
    <col min="4378" max="4378" width="11.42578125" style="154" customWidth="1"/>
    <col min="4379" max="4379" width="10.7109375" style="154" bestFit="1" customWidth="1"/>
    <col min="4380" max="4380" width="11.140625" style="154" bestFit="1" customWidth="1"/>
    <col min="4381" max="4622" width="11.42578125" style="154"/>
    <col min="4623" max="4623" width="37.7109375" style="154" customWidth="1"/>
    <col min="4624" max="4624" width="21" style="154" customWidth="1"/>
    <col min="4625" max="4625" width="18.140625" style="154" customWidth="1"/>
    <col min="4626" max="4628" width="17.7109375" style="154" customWidth="1"/>
    <col min="4629" max="4630" width="18.140625" style="154" customWidth="1"/>
    <col min="4631" max="4631" width="11.42578125" style="154" customWidth="1"/>
    <col min="4632" max="4632" width="19.85546875" style="154" bestFit="1" customWidth="1"/>
    <col min="4633" max="4633" width="12.7109375" style="154" bestFit="1" customWidth="1"/>
    <col min="4634" max="4634" width="11.42578125" style="154" customWidth="1"/>
    <col min="4635" max="4635" width="10.7109375" style="154" bestFit="1" customWidth="1"/>
    <col min="4636" max="4636" width="11.140625" style="154" bestFit="1" customWidth="1"/>
    <col min="4637" max="4878" width="11.42578125" style="154"/>
    <col min="4879" max="4879" width="37.7109375" style="154" customWidth="1"/>
    <col min="4880" max="4880" width="21" style="154" customWidth="1"/>
    <col min="4881" max="4881" width="18.140625" style="154" customWidth="1"/>
    <col min="4882" max="4884" width="17.7109375" style="154" customWidth="1"/>
    <col min="4885" max="4886" width="18.140625" style="154" customWidth="1"/>
    <col min="4887" max="4887" width="11.42578125" style="154" customWidth="1"/>
    <col min="4888" max="4888" width="19.85546875" style="154" bestFit="1" customWidth="1"/>
    <col min="4889" max="4889" width="12.7109375" style="154" bestFit="1" customWidth="1"/>
    <col min="4890" max="4890" width="11.42578125" style="154" customWidth="1"/>
    <col min="4891" max="4891" width="10.7109375" style="154" bestFit="1" customWidth="1"/>
    <col min="4892" max="4892" width="11.140625" style="154" bestFit="1" customWidth="1"/>
    <col min="4893" max="5134" width="11.42578125" style="154"/>
    <col min="5135" max="5135" width="37.7109375" style="154" customWidth="1"/>
    <col min="5136" max="5136" width="21" style="154" customWidth="1"/>
    <col min="5137" max="5137" width="18.140625" style="154" customWidth="1"/>
    <col min="5138" max="5140" width="17.7109375" style="154" customWidth="1"/>
    <col min="5141" max="5142" width="18.140625" style="154" customWidth="1"/>
    <col min="5143" max="5143" width="11.42578125" style="154" customWidth="1"/>
    <col min="5144" max="5144" width="19.85546875" style="154" bestFit="1" customWidth="1"/>
    <col min="5145" max="5145" width="12.7109375" style="154" bestFit="1" customWidth="1"/>
    <col min="5146" max="5146" width="11.42578125" style="154" customWidth="1"/>
    <col min="5147" max="5147" width="10.7109375" style="154" bestFit="1" customWidth="1"/>
    <col min="5148" max="5148" width="11.140625" style="154" bestFit="1" customWidth="1"/>
    <col min="5149" max="5390" width="11.42578125" style="154"/>
    <col min="5391" max="5391" width="37.7109375" style="154" customWidth="1"/>
    <col min="5392" max="5392" width="21" style="154" customWidth="1"/>
    <col min="5393" max="5393" width="18.140625" style="154" customWidth="1"/>
    <col min="5394" max="5396" width="17.7109375" style="154" customWidth="1"/>
    <col min="5397" max="5398" width="18.140625" style="154" customWidth="1"/>
    <col min="5399" max="5399" width="11.42578125" style="154" customWidth="1"/>
    <col min="5400" max="5400" width="19.85546875" style="154" bestFit="1" customWidth="1"/>
    <col min="5401" max="5401" width="12.7109375" style="154" bestFit="1" customWidth="1"/>
    <col min="5402" max="5402" width="11.42578125" style="154" customWidth="1"/>
    <col min="5403" max="5403" width="10.7109375" style="154" bestFit="1" customWidth="1"/>
    <col min="5404" max="5404" width="11.140625" style="154" bestFit="1" customWidth="1"/>
    <col min="5405" max="5646" width="11.42578125" style="154"/>
    <col min="5647" max="5647" width="37.7109375" style="154" customWidth="1"/>
    <col min="5648" max="5648" width="21" style="154" customWidth="1"/>
    <col min="5649" max="5649" width="18.140625" style="154" customWidth="1"/>
    <col min="5650" max="5652" width="17.7109375" style="154" customWidth="1"/>
    <col min="5653" max="5654" width="18.140625" style="154" customWidth="1"/>
    <col min="5655" max="5655" width="11.42578125" style="154" customWidth="1"/>
    <col min="5656" max="5656" width="19.85546875" style="154" bestFit="1" customWidth="1"/>
    <col min="5657" max="5657" width="12.7109375" style="154" bestFit="1" customWidth="1"/>
    <col min="5658" max="5658" width="11.42578125" style="154" customWidth="1"/>
    <col min="5659" max="5659" width="10.7109375" style="154" bestFit="1" customWidth="1"/>
    <col min="5660" max="5660" width="11.140625" style="154" bestFit="1" customWidth="1"/>
    <col min="5661" max="5902" width="11.42578125" style="154"/>
    <col min="5903" max="5903" width="37.7109375" style="154" customWidth="1"/>
    <col min="5904" max="5904" width="21" style="154" customWidth="1"/>
    <col min="5905" max="5905" width="18.140625" style="154" customWidth="1"/>
    <col min="5906" max="5908" width="17.7109375" style="154" customWidth="1"/>
    <col min="5909" max="5910" width="18.140625" style="154" customWidth="1"/>
    <col min="5911" max="5911" width="11.42578125" style="154" customWidth="1"/>
    <col min="5912" max="5912" width="19.85546875" style="154" bestFit="1" customWidth="1"/>
    <col min="5913" max="5913" width="12.7109375" style="154" bestFit="1" customWidth="1"/>
    <col min="5914" max="5914" width="11.42578125" style="154" customWidth="1"/>
    <col min="5915" max="5915" width="10.7109375" style="154" bestFit="1" customWidth="1"/>
    <col min="5916" max="5916" width="11.140625" style="154" bestFit="1" customWidth="1"/>
    <col min="5917" max="6158" width="11.42578125" style="154"/>
    <col min="6159" max="6159" width="37.7109375" style="154" customWidth="1"/>
    <col min="6160" max="6160" width="21" style="154" customWidth="1"/>
    <col min="6161" max="6161" width="18.140625" style="154" customWidth="1"/>
    <col min="6162" max="6164" width="17.7109375" style="154" customWidth="1"/>
    <col min="6165" max="6166" width="18.140625" style="154" customWidth="1"/>
    <col min="6167" max="6167" width="11.42578125" style="154" customWidth="1"/>
    <col min="6168" max="6168" width="19.85546875" style="154" bestFit="1" customWidth="1"/>
    <col min="6169" max="6169" width="12.7109375" style="154" bestFit="1" customWidth="1"/>
    <col min="6170" max="6170" width="11.42578125" style="154" customWidth="1"/>
    <col min="6171" max="6171" width="10.7109375" style="154" bestFit="1" customWidth="1"/>
    <col min="6172" max="6172" width="11.140625" style="154" bestFit="1" customWidth="1"/>
    <col min="6173" max="6414" width="11.42578125" style="154"/>
    <col min="6415" max="6415" width="37.7109375" style="154" customWidth="1"/>
    <col min="6416" max="6416" width="21" style="154" customWidth="1"/>
    <col min="6417" max="6417" width="18.140625" style="154" customWidth="1"/>
    <col min="6418" max="6420" width="17.7109375" style="154" customWidth="1"/>
    <col min="6421" max="6422" width="18.140625" style="154" customWidth="1"/>
    <col min="6423" max="6423" width="11.42578125" style="154" customWidth="1"/>
    <col min="6424" max="6424" width="19.85546875" style="154" bestFit="1" customWidth="1"/>
    <col min="6425" max="6425" width="12.7109375" style="154" bestFit="1" customWidth="1"/>
    <col min="6426" max="6426" width="11.42578125" style="154" customWidth="1"/>
    <col min="6427" max="6427" width="10.7109375" style="154" bestFit="1" customWidth="1"/>
    <col min="6428" max="6428" width="11.140625" style="154" bestFit="1" customWidth="1"/>
    <col min="6429" max="6670" width="11.42578125" style="154"/>
    <col min="6671" max="6671" width="37.7109375" style="154" customWidth="1"/>
    <col min="6672" max="6672" width="21" style="154" customWidth="1"/>
    <col min="6673" max="6673" width="18.140625" style="154" customWidth="1"/>
    <col min="6674" max="6676" width="17.7109375" style="154" customWidth="1"/>
    <col min="6677" max="6678" width="18.140625" style="154" customWidth="1"/>
    <col min="6679" max="6679" width="11.42578125" style="154" customWidth="1"/>
    <col min="6680" max="6680" width="19.85546875" style="154" bestFit="1" customWidth="1"/>
    <col min="6681" max="6681" width="12.7109375" style="154" bestFit="1" customWidth="1"/>
    <col min="6682" max="6682" width="11.42578125" style="154" customWidth="1"/>
    <col min="6683" max="6683" width="10.7109375" style="154" bestFit="1" customWidth="1"/>
    <col min="6684" max="6684" width="11.140625" style="154" bestFit="1" customWidth="1"/>
    <col min="6685" max="6926" width="11.42578125" style="154"/>
    <col min="6927" max="6927" width="37.7109375" style="154" customWidth="1"/>
    <col min="6928" max="6928" width="21" style="154" customWidth="1"/>
    <col min="6929" max="6929" width="18.140625" style="154" customWidth="1"/>
    <col min="6930" max="6932" width="17.7109375" style="154" customWidth="1"/>
    <col min="6933" max="6934" width="18.140625" style="154" customWidth="1"/>
    <col min="6935" max="6935" width="11.42578125" style="154" customWidth="1"/>
    <col min="6936" max="6936" width="19.85546875" style="154" bestFit="1" customWidth="1"/>
    <col min="6937" max="6937" width="12.7109375" style="154" bestFit="1" customWidth="1"/>
    <col min="6938" max="6938" width="11.42578125" style="154" customWidth="1"/>
    <col min="6939" max="6939" width="10.7109375" style="154" bestFit="1" customWidth="1"/>
    <col min="6940" max="6940" width="11.140625" style="154" bestFit="1" customWidth="1"/>
    <col min="6941" max="7182" width="11.42578125" style="154"/>
    <col min="7183" max="7183" width="37.7109375" style="154" customWidth="1"/>
    <col min="7184" max="7184" width="21" style="154" customWidth="1"/>
    <col min="7185" max="7185" width="18.140625" style="154" customWidth="1"/>
    <col min="7186" max="7188" width="17.7109375" style="154" customWidth="1"/>
    <col min="7189" max="7190" width="18.140625" style="154" customWidth="1"/>
    <col min="7191" max="7191" width="11.42578125" style="154" customWidth="1"/>
    <col min="7192" max="7192" width="19.85546875" style="154" bestFit="1" customWidth="1"/>
    <col min="7193" max="7193" width="12.7109375" style="154" bestFit="1" customWidth="1"/>
    <col min="7194" max="7194" width="11.42578125" style="154" customWidth="1"/>
    <col min="7195" max="7195" width="10.7109375" style="154" bestFit="1" customWidth="1"/>
    <col min="7196" max="7196" width="11.140625" style="154" bestFit="1" customWidth="1"/>
    <col min="7197" max="7438" width="11.42578125" style="154"/>
    <col min="7439" max="7439" width="37.7109375" style="154" customWidth="1"/>
    <col min="7440" max="7440" width="21" style="154" customWidth="1"/>
    <col min="7441" max="7441" width="18.140625" style="154" customWidth="1"/>
    <col min="7442" max="7444" width="17.7109375" style="154" customWidth="1"/>
    <col min="7445" max="7446" width="18.140625" style="154" customWidth="1"/>
    <col min="7447" max="7447" width="11.42578125" style="154" customWidth="1"/>
    <col min="7448" max="7448" width="19.85546875" style="154" bestFit="1" customWidth="1"/>
    <col min="7449" max="7449" width="12.7109375" style="154" bestFit="1" customWidth="1"/>
    <col min="7450" max="7450" width="11.42578125" style="154" customWidth="1"/>
    <col min="7451" max="7451" width="10.7109375" style="154" bestFit="1" customWidth="1"/>
    <col min="7452" max="7452" width="11.140625" style="154" bestFit="1" customWidth="1"/>
    <col min="7453" max="7694" width="11.42578125" style="154"/>
    <col min="7695" max="7695" width="37.7109375" style="154" customWidth="1"/>
    <col min="7696" max="7696" width="21" style="154" customWidth="1"/>
    <col min="7697" max="7697" width="18.140625" style="154" customWidth="1"/>
    <col min="7698" max="7700" width="17.7109375" style="154" customWidth="1"/>
    <col min="7701" max="7702" width="18.140625" style="154" customWidth="1"/>
    <col min="7703" max="7703" width="11.42578125" style="154" customWidth="1"/>
    <col min="7704" max="7704" width="19.85546875" style="154" bestFit="1" customWidth="1"/>
    <col min="7705" max="7705" width="12.7109375" style="154" bestFit="1" customWidth="1"/>
    <col min="7706" max="7706" width="11.42578125" style="154" customWidth="1"/>
    <col min="7707" max="7707" width="10.7109375" style="154" bestFit="1" customWidth="1"/>
    <col min="7708" max="7708" width="11.140625" style="154" bestFit="1" customWidth="1"/>
    <col min="7709" max="7950" width="11.42578125" style="154"/>
    <col min="7951" max="7951" width="37.7109375" style="154" customWidth="1"/>
    <col min="7952" max="7952" width="21" style="154" customWidth="1"/>
    <col min="7953" max="7953" width="18.140625" style="154" customWidth="1"/>
    <col min="7954" max="7956" width="17.7109375" style="154" customWidth="1"/>
    <col min="7957" max="7958" width="18.140625" style="154" customWidth="1"/>
    <col min="7959" max="7959" width="11.42578125" style="154" customWidth="1"/>
    <col min="7960" max="7960" width="19.85546875" style="154" bestFit="1" customWidth="1"/>
    <col min="7961" max="7961" width="12.7109375" style="154" bestFit="1" customWidth="1"/>
    <col min="7962" max="7962" width="11.42578125" style="154" customWidth="1"/>
    <col min="7963" max="7963" width="10.7109375" style="154" bestFit="1" customWidth="1"/>
    <col min="7964" max="7964" width="11.140625" style="154" bestFit="1" customWidth="1"/>
    <col min="7965" max="8206" width="11.42578125" style="154"/>
    <col min="8207" max="8207" width="37.7109375" style="154" customWidth="1"/>
    <col min="8208" max="8208" width="21" style="154" customWidth="1"/>
    <col min="8209" max="8209" width="18.140625" style="154" customWidth="1"/>
    <col min="8210" max="8212" width="17.7109375" style="154" customWidth="1"/>
    <col min="8213" max="8214" width="18.140625" style="154" customWidth="1"/>
    <col min="8215" max="8215" width="11.42578125" style="154" customWidth="1"/>
    <col min="8216" max="8216" width="19.85546875" style="154" bestFit="1" customWidth="1"/>
    <col min="8217" max="8217" width="12.7109375" style="154" bestFit="1" customWidth="1"/>
    <col min="8218" max="8218" width="11.42578125" style="154" customWidth="1"/>
    <col min="8219" max="8219" width="10.7109375" style="154" bestFit="1" customWidth="1"/>
    <col min="8220" max="8220" width="11.140625" style="154" bestFit="1" customWidth="1"/>
    <col min="8221" max="8462" width="11.42578125" style="154"/>
    <col min="8463" max="8463" width="37.7109375" style="154" customWidth="1"/>
    <col min="8464" max="8464" width="21" style="154" customWidth="1"/>
    <col min="8465" max="8465" width="18.140625" style="154" customWidth="1"/>
    <col min="8466" max="8468" width="17.7109375" style="154" customWidth="1"/>
    <col min="8469" max="8470" width="18.140625" style="154" customWidth="1"/>
    <col min="8471" max="8471" width="11.42578125" style="154" customWidth="1"/>
    <col min="8472" max="8472" width="19.85546875" style="154" bestFit="1" customWidth="1"/>
    <col min="8473" max="8473" width="12.7109375" style="154" bestFit="1" customWidth="1"/>
    <col min="8474" max="8474" width="11.42578125" style="154" customWidth="1"/>
    <col min="8475" max="8475" width="10.7109375" style="154" bestFit="1" customWidth="1"/>
    <col min="8476" max="8476" width="11.140625" style="154" bestFit="1" customWidth="1"/>
    <col min="8477" max="8718" width="11.42578125" style="154"/>
    <col min="8719" max="8719" width="37.7109375" style="154" customWidth="1"/>
    <col min="8720" max="8720" width="21" style="154" customWidth="1"/>
    <col min="8721" max="8721" width="18.140625" style="154" customWidth="1"/>
    <col min="8722" max="8724" width="17.7109375" style="154" customWidth="1"/>
    <col min="8725" max="8726" width="18.140625" style="154" customWidth="1"/>
    <col min="8727" max="8727" width="11.42578125" style="154" customWidth="1"/>
    <col min="8728" max="8728" width="19.85546875" style="154" bestFit="1" customWidth="1"/>
    <col min="8729" max="8729" width="12.7109375" style="154" bestFit="1" customWidth="1"/>
    <col min="8730" max="8730" width="11.42578125" style="154" customWidth="1"/>
    <col min="8731" max="8731" width="10.7109375" style="154" bestFit="1" customWidth="1"/>
    <col min="8732" max="8732" width="11.140625" style="154" bestFit="1" customWidth="1"/>
    <col min="8733" max="8974" width="11.42578125" style="154"/>
    <col min="8975" max="8975" width="37.7109375" style="154" customWidth="1"/>
    <col min="8976" max="8976" width="21" style="154" customWidth="1"/>
    <col min="8977" max="8977" width="18.140625" style="154" customWidth="1"/>
    <col min="8978" max="8980" width="17.7109375" style="154" customWidth="1"/>
    <col min="8981" max="8982" width="18.140625" style="154" customWidth="1"/>
    <col min="8983" max="8983" width="11.42578125" style="154" customWidth="1"/>
    <col min="8984" max="8984" width="19.85546875" style="154" bestFit="1" customWidth="1"/>
    <col min="8985" max="8985" width="12.7109375" style="154" bestFit="1" customWidth="1"/>
    <col min="8986" max="8986" width="11.42578125" style="154" customWidth="1"/>
    <col min="8987" max="8987" width="10.7109375" style="154" bestFit="1" customWidth="1"/>
    <col min="8988" max="8988" width="11.140625" style="154" bestFit="1" customWidth="1"/>
    <col min="8989" max="9230" width="11.42578125" style="154"/>
    <col min="9231" max="9231" width="37.7109375" style="154" customWidth="1"/>
    <col min="9232" max="9232" width="21" style="154" customWidth="1"/>
    <col min="9233" max="9233" width="18.140625" style="154" customWidth="1"/>
    <col min="9234" max="9236" width="17.7109375" style="154" customWidth="1"/>
    <col min="9237" max="9238" width="18.140625" style="154" customWidth="1"/>
    <col min="9239" max="9239" width="11.42578125" style="154" customWidth="1"/>
    <col min="9240" max="9240" width="19.85546875" style="154" bestFit="1" customWidth="1"/>
    <col min="9241" max="9241" width="12.7109375" style="154" bestFit="1" customWidth="1"/>
    <col min="9242" max="9242" width="11.42578125" style="154" customWidth="1"/>
    <col min="9243" max="9243" width="10.7109375" style="154" bestFit="1" customWidth="1"/>
    <col min="9244" max="9244" width="11.140625" style="154" bestFit="1" customWidth="1"/>
    <col min="9245" max="9486" width="11.42578125" style="154"/>
    <col min="9487" max="9487" width="37.7109375" style="154" customWidth="1"/>
    <col min="9488" max="9488" width="21" style="154" customWidth="1"/>
    <col min="9489" max="9489" width="18.140625" style="154" customWidth="1"/>
    <col min="9490" max="9492" width="17.7109375" style="154" customWidth="1"/>
    <col min="9493" max="9494" width="18.140625" style="154" customWidth="1"/>
    <col min="9495" max="9495" width="11.42578125" style="154" customWidth="1"/>
    <col min="9496" max="9496" width="19.85546875" style="154" bestFit="1" customWidth="1"/>
    <col min="9497" max="9497" width="12.7109375" style="154" bestFit="1" customWidth="1"/>
    <col min="9498" max="9498" width="11.42578125" style="154" customWidth="1"/>
    <col min="9499" max="9499" width="10.7109375" style="154" bestFit="1" customWidth="1"/>
    <col min="9500" max="9500" width="11.140625" style="154" bestFit="1" customWidth="1"/>
    <col min="9501" max="9742" width="11.42578125" style="154"/>
    <col min="9743" max="9743" width="37.7109375" style="154" customWidth="1"/>
    <col min="9744" max="9744" width="21" style="154" customWidth="1"/>
    <col min="9745" max="9745" width="18.140625" style="154" customWidth="1"/>
    <col min="9746" max="9748" width="17.7109375" style="154" customWidth="1"/>
    <col min="9749" max="9750" width="18.140625" style="154" customWidth="1"/>
    <col min="9751" max="9751" width="11.42578125" style="154" customWidth="1"/>
    <col min="9752" max="9752" width="19.85546875" style="154" bestFit="1" customWidth="1"/>
    <col min="9753" max="9753" width="12.7109375" style="154" bestFit="1" customWidth="1"/>
    <col min="9754" max="9754" width="11.42578125" style="154" customWidth="1"/>
    <col min="9755" max="9755" width="10.7109375" style="154" bestFit="1" customWidth="1"/>
    <col min="9756" max="9756" width="11.140625" style="154" bestFit="1" customWidth="1"/>
    <col min="9757" max="9998" width="11.42578125" style="154"/>
    <col min="9999" max="9999" width="37.7109375" style="154" customWidth="1"/>
    <col min="10000" max="10000" width="21" style="154" customWidth="1"/>
    <col min="10001" max="10001" width="18.140625" style="154" customWidth="1"/>
    <col min="10002" max="10004" width="17.7109375" style="154" customWidth="1"/>
    <col min="10005" max="10006" width="18.140625" style="154" customWidth="1"/>
    <col min="10007" max="10007" width="11.42578125" style="154" customWidth="1"/>
    <col min="10008" max="10008" width="19.85546875" style="154" bestFit="1" customWidth="1"/>
    <col min="10009" max="10009" width="12.7109375" style="154" bestFit="1" customWidth="1"/>
    <col min="10010" max="10010" width="11.42578125" style="154" customWidth="1"/>
    <col min="10011" max="10011" width="10.7109375" style="154" bestFit="1" customWidth="1"/>
    <col min="10012" max="10012" width="11.140625" style="154" bestFit="1" customWidth="1"/>
    <col min="10013" max="10254" width="11.42578125" style="154"/>
    <col min="10255" max="10255" width="37.7109375" style="154" customWidth="1"/>
    <col min="10256" max="10256" width="21" style="154" customWidth="1"/>
    <col min="10257" max="10257" width="18.140625" style="154" customWidth="1"/>
    <col min="10258" max="10260" width="17.7109375" style="154" customWidth="1"/>
    <col min="10261" max="10262" width="18.140625" style="154" customWidth="1"/>
    <col min="10263" max="10263" width="11.42578125" style="154" customWidth="1"/>
    <col min="10264" max="10264" width="19.85546875" style="154" bestFit="1" customWidth="1"/>
    <col min="10265" max="10265" width="12.7109375" style="154" bestFit="1" customWidth="1"/>
    <col min="10266" max="10266" width="11.42578125" style="154" customWidth="1"/>
    <col min="10267" max="10267" width="10.7109375" style="154" bestFit="1" customWidth="1"/>
    <col min="10268" max="10268" width="11.140625" style="154" bestFit="1" customWidth="1"/>
    <col min="10269" max="10510" width="11.42578125" style="154"/>
    <col min="10511" max="10511" width="37.7109375" style="154" customWidth="1"/>
    <col min="10512" max="10512" width="21" style="154" customWidth="1"/>
    <col min="10513" max="10513" width="18.140625" style="154" customWidth="1"/>
    <col min="10514" max="10516" width="17.7109375" style="154" customWidth="1"/>
    <col min="10517" max="10518" width="18.140625" style="154" customWidth="1"/>
    <col min="10519" max="10519" width="11.42578125" style="154" customWidth="1"/>
    <col min="10520" max="10520" width="19.85546875" style="154" bestFit="1" customWidth="1"/>
    <col min="10521" max="10521" width="12.7109375" style="154" bestFit="1" customWidth="1"/>
    <col min="10522" max="10522" width="11.42578125" style="154" customWidth="1"/>
    <col min="10523" max="10523" width="10.7109375" style="154" bestFit="1" customWidth="1"/>
    <col min="10524" max="10524" width="11.140625" style="154" bestFit="1" customWidth="1"/>
    <col min="10525" max="10766" width="11.42578125" style="154"/>
    <col min="10767" max="10767" width="37.7109375" style="154" customWidth="1"/>
    <col min="10768" max="10768" width="21" style="154" customWidth="1"/>
    <col min="10769" max="10769" width="18.140625" style="154" customWidth="1"/>
    <col min="10770" max="10772" width="17.7109375" style="154" customWidth="1"/>
    <col min="10773" max="10774" width="18.140625" style="154" customWidth="1"/>
    <col min="10775" max="10775" width="11.42578125" style="154" customWidth="1"/>
    <col min="10776" max="10776" width="19.85546875" style="154" bestFit="1" customWidth="1"/>
    <col min="10777" max="10777" width="12.7109375" style="154" bestFit="1" customWidth="1"/>
    <col min="10778" max="10778" width="11.42578125" style="154" customWidth="1"/>
    <col min="10779" max="10779" width="10.7109375" style="154" bestFit="1" customWidth="1"/>
    <col min="10780" max="10780" width="11.140625" style="154" bestFit="1" customWidth="1"/>
    <col min="10781" max="11022" width="11.42578125" style="154"/>
    <col min="11023" max="11023" width="37.7109375" style="154" customWidth="1"/>
    <col min="11024" max="11024" width="21" style="154" customWidth="1"/>
    <col min="11025" max="11025" width="18.140625" style="154" customWidth="1"/>
    <col min="11026" max="11028" width="17.7109375" style="154" customWidth="1"/>
    <col min="11029" max="11030" width="18.140625" style="154" customWidth="1"/>
    <col min="11031" max="11031" width="11.42578125" style="154" customWidth="1"/>
    <col min="11032" max="11032" width="19.85546875" style="154" bestFit="1" customWidth="1"/>
    <col min="11033" max="11033" width="12.7109375" style="154" bestFit="1" customWidth="1"/>
    <col min="11034" max="11034" width="11.42578125" style="154" customWidth="1"/>
    <col min="11035" max="11035" width="10.7109375" style="154" bestFit="1" customWidth="1"/>
    <col min="11036" max="11036" width="11.140625" style="154" bestFit="1" customWidth="1"/>
    <col min="11037" max="11278" width="11.42578125" style="154"/>
    <col min="11279" max="11279" width="37.7109375" style="154" customWidth="1"/>
    <col min="11280" max="11280" width="21" style="154" customWidth="1"/>
    <col min="11281" max="11281" width="18.140625" style="154" customWidth="1"/>
    <col min="11282" max="11284" width="17.7109375" style="154" customWidth="1"/>
    <col min="11285" max="11286" width="18.140625" style="154" customWidth="1"/>
    <col min="11287" max="11287" width="11.42578125" style="154" customWidth="1"/>
    <col min="11288" max="11288" width="19.85546875" style="154" bestFit="1" customWidth="1"/>
    <col min="11289" max="11289" width="12.7109375" style="154" bestFit="1" customWidth="1"/>
    <col min="11290" max="11290" width="11.42578125" style="154" customWidth="1"/>
    <col min="11291" max="11291" width="10.7109375" style="154" bestFit="1" customWidth="1"/>
    <col min="11292" max="11292" width="11.140625" style="154" bestFit="1" customWidth="1"/>
    <col min="11293" max="11534" width="11.42578125" style="154"/>
    <col min="11535" max="11535" width="37.7109375" style="154" customWidth="1"/>
    <col min="11536" max="11536" width="21" style="154" customWidth="1"/>
    <col min="11537" max="11537" width="18.140625" style="154" customWidth="1"/>
    <col min="11538" max="11540" width="17.7109375" style="154" customWidth="1"/>
    <col min="11541" max="11542" width="18.140625" style="154" customWidth="1"/>
    <col min="11543" max="11543" width="11.42578125" style="154" customWidth="1"/>
    <col min="11544" max="11544" width="19.85546875" style="154" bestFit="1" customWidth="1"/>
    <col min="11545" max="11545" width="12.7109375" style="154" bestFit="1" customWidth="1"/>
    <col min="11546" max="11546" width="11.42578125" style="154" customWidth="1"/>
    <col min="11547" max="11547" width="10.7109375" style="154" bestFit="1" customWidth="1"/>
    <col min="11548" max="11548" width="11.140625" style="154" bestFit="1" customWidth="1"/>
    <col min="11549" max="11790" width="11.42578125" style="154"/>
    <col min="11791" max="11791" width="37.7109375" style="154" customWidth="1"/>
    <col min="11792" max="11792" width="21" style="154" customWidth="1"/>
    <col min="11793" max="11793" width="18.140625" style="154" customWidth="1"/>
    <col min="11794" max="11796" width="17.7109375" style="154" customWidth="1"/>
    <col min="11797" max="11798" width="18.140625" style="154" customWidth="1"/>
    <col min="11799" max="11799" width="11.42578125" style="154" customWidth="1"/>
    <col min="11800" max="11800" width="19.85546875" style="154" bestFit="1" customWidth="1"/>
    <col min="11801" max="11801" width="12.7109375" style="154" bestFit="1" customWidth="1"/>
    <col min="11802" max="11802" width="11.42578125" style="154" customWidth="1"/>
    <col min="11803" max="11803" width="10.7109375" style="154" bestFit="1" customWidth="1"/>
    <col min="11804" max="11804" width="11.140625" style="154" bestFit="1" customWidth="1"/>
    <col min="11805" max="12046" width="11.42578125" style="154"/>
    <col min="12047" max="12047" width="37.7109375" style="154" customWidth="1"/>
    <col min="12048" max="12048" width="21" style="154" customWidth="1"/>
    <col min="12049" max="12049" width="18.140625" style="154" customWidth="1"/>
    <col min="12050" max="12052" width="17.7109375" style="154" customWidth="1"/>
    <col min="12053" max="12054" width="18.140625" style="154" customWidth="1"/>
    <col min="12055" max="12055" width="11.42578125" style="154" customWidth="1"/>
    <col min="12056" max="12056" width="19.85546875" style="154" bestFit="1" customWidth="1"/>
    <col min="12057" max="12057" width="12.7109375" style="154" bestFit="1" customWidth="1"/>
    <col min="12058" max="12058" width="11.42578125" style="154" customWidth="1"/>
    <col min="12059" max="12059" width="10.7109375" style="154" bestFit="1" customWidth="1"/>
    <col min="12060" max="12060" width="11.140625" style="154" bestFit="1" customWidth="1"/>
    <col min="12061" max="12302" width="11.42578125" style="154"/>
    <col min="12303" max="12303" width="37.7109375" style="154" customWidth="1"/>
    <col min="12304" max="12304" width="21" style="154" customWidth="1"/>
    <col min="12305" max="12305" width="18.140625" style="154" customWidth="1"/>
    <col min="12306" max="12308" width="17.7109375" style="154" customWidth="1"/>
    <col min="12309" max="12310" width="18.140625" style="154" customWidth="1"/>
    <col min="12311" max="12311" width="11.42578125" style="154" customWidth="1"/>
    <col min="12312" max="12312" width="19.85546875" style="154" bestFit="1" customWidth="1"/>
    <col min="12313" max="12313" width="12.7109375" style="154" bestFit="1" customWidth="1"/>
    <col min="12314" max="12314" width="11.42578125" style="154" customWidth="1"/>
    <col min="12315" max="12315" width="10.7109375" style="154" bestFit="1" customWidth="1"/>
    <col min="12316" max="12316" width="11.140625" style="154" bestFit="1" customWidth="1"/>
    <col min="12317" max="12558" width="11.42578125" style="154"/>
    <col min="12559" max="12559" width="37.7109375" style="154" customWidth="1"/>
    <col min="12560" max="12560" width="21" style="154" customWidth="1"/>
    <col min="12561" max="12561" width="18.140625" style="154" customWidth="1"/>
    <col min="12562" max="12564" width="17.7109375" style="154" customWidth="1"/>
    <col min="12565" max="12566" width="18.140625" style="154" customWidth="1"/>
    <col min="12567" max="12567" width="11.42578125" style="154" customWidth="1"/>
    <col min="12568" max="12568" width="19.85546875" style="154" bestFit="1" customWidth="1"/>
    <col min="12569" max="12569" width="12.7109375" style="154" bestFit="1" customWidth="1"/>
    <col min="12570" max="12570" width="11.42578125" style="154" customWidth="1"/>
    <col min="12571" max="12571" width="10.7109375" style="154" bestFit="1" customWidth="1"/>
    <col min="12572" max="12572" width="11.140625" style="154" bestFit="1" customWidth="1"/>
    <col min="12573" max="12814" width="11.42578125" style="154"/>
    <col min="12815" max="12815" width="37.7109375" style="154" customWidth="1"/>
    <col min="12816" max="12816" width="21" style="154" customWidth="1"/>
    <col min="12817" max="12817" width="18.140625" style="154" customWidth="1"/>
    <col min="12818" max="12820" width="17.7109375" style="154" customWidth="1"/>
    <col min="12821" max="12822" width="18.140625" style="154" customWidth="1"/>
    <col min="12823" max="12823" width="11.42578125" style="154" customWidth="1"/>
    <col min="12824" max="12824" width="19.85546875" style="154" bestFit="1" customWidth="1"/>
    <col min="12825" max="12825" width="12.7109375" style="154" bestFit="1" customWidth="1"/>
    <col min="12826" max="12826" width="11.42578125" style="154" customWidth="1"/>
    <col min="12827" max="12827" width="10.7109375" style="154" bestFit="1" customWidth="1"/>
    <col min="12828" max="12828" width="11.140625" style="154" bestFit="1" customWidth="1"/>
    <col min="12829" max="13070" width="11.42578125" style="154"/>
    <col min="13071" max="13071" width="37.7109375" style="154" customWidth="1"/>
    <col min="13072" max="13072" width="21" style="154" customWidth="1"/>
    <col min="13073" max="13073" width="18.140625" style="154" customWidth="1"/>
    <col min="13074" max="13076" width="17.7109375" style="154" customWidth="1"/>
    <col min="13077" max="13078" width="18.140625" style="154" customWidth="1"/>
    <col min="13079" max="13079" width="11.42578125" style="154" customWidth="1"/>
    <col min="13080" max="13080" width="19.85546875" style="154" bestFit="1" customWidth="1"/>
    <col min="13081" max="13081" width="12.7109375" style="154" bestFit="1" customWidth="1"/>
    <col min="13082" max="13082" width="11.42578125" style="154" customWidth="1"/>
    <col min="13083" max="13083" width="10.7109375" style="154" bestFit="1" customWidth="1"/>
    <col min="13084" max="13084" width="11.140625" style="154" bestFit="1" customWidth="1"/>
    <col min="13085" max="13326" width="11.42578125" style="154"/>
    <col min="13327" max="13327" width="37.7109375" style="154" customWidth="1"/>
    <col min="13328" max="13328" width="21" style="154" customWidth="1"/>
    <col min="13329" max="13329" width="18.140625" style="154" customWidth="1"/>
    <col min="13330" max="13332" width="17.7109375" style="154" customWidth="1"/>
    <col min="13333" max="13334" width="18.140625" style="154" customWidth="1"/>
    <col min="13335" max="13335" width="11.42578125" style="154" customWidth="1"/>
    <col min="13336" max="13336" width="19.85546875" style="154" bestFit="1" customWidth="1"/>
    <col min="13337" max="13337" width="12.7109375" style="154" bestFit="1" customWidth="1"/>
    <col min="13338" max="13338" width="11.42578125" style="154" customWidth="1"/>
    <col min="13339" max="13339" width="10.7109375" style="154" bestFit="1" customWidth="1"/>
    <col min="13340" max="13340" width="11.140625" style="154" bestFit="1" customWidth="1"/>
    <col min="13341" max="13582" width="11.42578125" style="154"/>
    <col min="13583" max="13583" width="37.7109375" style="154" customWidth="1"/>
    <col min="13584" max="13584" width="21" style="154" customWidth="1"/>
    <col min="13585" max="13585" width="18.140625" style="154" customWidth="1"/>
    <col min="13586" max="13588" width="17.7109375" style="154" customWidth="1"/>
    <col min="13589" max="13590" width="18.140625" style="154" customWidth="1"/>
    <col min="13591" max="13591" width="11.42578125" style="154" customWidth="1"/>
    <col min="13592" max="13592" width="19.85546875" style="154" bestFit="1" customWidth="1"/>
    <col min="13593" max="13593" width="12.7109375" style="154" bestFit="1" customWidth="1"/>
    <col min="13594" max="13594" width="11.42578125" style="154" customWidth="1"/>
    <col min="13595" max="13595" width="10.7109375" style="154" bestFit="1" customWidth="1"/>
    <col min="13596" max="13596" width="11.140625" style="154" bestFit="1" customWidth="1"/>
    <col min="13597" max="13838" width="11.42578125" style="154"/>
    <col min="13839" max="13839" width="37.7109375" style="154" customWidth="1"/>
    <col min="13840" max="13840" width="21" style="154" customWidth="1"/>
    <col min="13841" max="13841" width="18.140625" style="154" customWidth="1"/>
    <col min="13842" max="13844" width="17.7109375" style="154" customWidth="1"/>
    <col min="13845" max="13846" width="18.140625" style="154" customWidth="1"/>
    <col min="13847" max="13847" width="11.42578125" style="154" customWidth="1"/>
    <col min="13848" max="13848" width="19.85546875" style="154" bestFit="1" customWidth="1"/>
    <col min="13849" max="13849" width="12.7109375" style="154" bestFit="1" customWidth="1"/>
    <col min="13850" max="13850" width="11.42578125" style="154" customWidth="1"/>
    <col min="13851" max="13851" width="10.7109375" style="154" bestFit="1" customWidth="1"/>
    <col min="13852" max="13852" width="11.140625" style="154" bestFit="1" customWidth="1"/>
    <col min="13853" max="14094" width="11.42578125" style="154"/>
    <col min="14095" max="14095" width="37.7109375" style="154" customWidth="1"/>
    <col min="14096" max="14096" width="21" style="154" customWidth="1"/>
    <col min="14097" max="14097" width="18.140625" style="154" customWidth="1"/>
    <col min="14098" max="14100" width="17.7109375" style="154" customWidth="1"/>
    <col min="14101" max="14102" width="18.140625" style="154" customWidth="1"/>
    <col min="14103" max="14103" width="11.42578125" style="154" customWidth="1"/>
    <col min="14104" max="14104" width="19.85546875" style="154" bestFit="1" customWidth="1"/>
    <col min="14105" max="14105" width="12.7109375" style="154" bestFit="1" customWidth="1"/>
    <col min="14106" max="14106" width="11.42578125" style="154" customWidth="1"/>
    <col min="14107" max="14107" width="10.7109375" style="154" bestFit="1" customWidth="1"/>
    <col min="14108" max="14108" width="11.140625" style="154" bestFit="1" customWidth="1"/>
    <col min="14109" max="14350" width="11.42578125" style="154"/>
    <col min="14351" max="14351" width="37.7109375" style="154" customWidth="1"/>
    <col min="14352" max="14352" width="21" style="154" customWidth="1"/>
    <col min="14353" max="14353" width="18.140625" style="154" customWidth="1"/>
    <col min="14354" max="14356" width="17.7109375" style="154" customWidth="1"/>
    <col min="14357" max="14358" width="18.140625" style="154" customWidth="1"/>
    <col min="14359" max="14359" width="11.42578125" style="154" customWidth="1"/>
    <col min="14360" max="14360" width="19.85546875" style="154" bestFit="1" customWidth="1"/>
    <col min="14361" max="14361" width="12.7109375" style="154" bestFit="1" customWidth="1"/>
    <col min="14362" max="14362" width="11.42578125" style="154" customWidth="1"/>
    <col min="14363" max="14363" width="10.7109375" style="154" bestFit="1" customWidth="1"/>
    <col min="14364" max="14364" width="11.140625" style="154" bestFit="1" customWidth="1"/>
    <col min="14365" max="14606" width="11.42578125" style="154"/>
    <col min="14607" max="14607" width="37.7109375" style="154" customWidth="1"/>
    <col min="14608" max="14608" width="21" style="154" customWidth="1"/>
    <col min="14609" max="14609" width="18.140625" style="154" customWidth="1"/>
    <col min="14610" max="14612" width="17.7109375" style="154" customWidth="1"/>
    <col min="14613" max="14614" width="18.140625" style="154" customWidth="1"/>
    <col min="14615" max="14615" width="11.42578125" style="154" customWidth="1"/>
    <col min="14616" max="14616" width="19.85546875" style="154" bestFit="1" customWidth="1"/>
    <col min="14617" max="14617" width="12.7109375" style="154" bestFit="1" customWidth="1"/>
    <col min="14618" max="14618" width="11.42578125" style="154" customWidth="1"/>
    <col min="14619" max="14619" width="10.7109375" style="154" bestFit="1" customWidth="1"/>
    <col min="14620" max="14620" width="11.140625" style="154" bestFit="1" customWidth="1"/>
    <col min="14621" max="14862" width="11.42578125" style="154"/>
    <col min="14863" max="14863" width="37.7109375" style="154" customWidth="1"/>
    <col min="14864" max="14864" width="21" style="154" customWidth="1"/>
    <col min="14865" max="14865" width="18.140625" style="154" customWidth="1"/>
    <col min="14866" max="14868" width="17.7109375" style="154" customWidth="1"/>
    <col min="14869" max="14870" width="18.140625" style="154" customWidth="1"/>
    <col min="14871" max="14871" width="11.42578125" style="154" customWidth="1"/>
    <col min="14872" max="14872" width="19.85546875" style="154" bestFit="1" customWidth="1"/>
    <col min="14873" max="14873" width="12.7109375" style="154" bestFit="1" customWidth="1"/>
    <col min="14874" max="14874" width="11.42578125" style="154" customWidth="1"/>
    <col min="14875" max="14875" width="10.7109375" style="154" bestFit="1" customWidth="1"/>
    <col min="14876" max="14876" width="11.140625" style="154" bestFit="1" customWidth="1"/>
    <col min="14877" max="15118" width="11.42578125" style="154"/>
    <col min="15119" max="15119" width="37.7109375" style="154" customWidth="1"/>
    <col min="15120" max="15120" width="21" style="154" customWidth="1"/>
    <col min="15121" max="15121" width="18.140625" style="154" customWidth="1"/>
    <col min="15122" max="15124" width="17.7109375" style="154" customWidth="1"/>
    <col min="15125" max="15126" width="18.140625" style="154" customWidth="1"/>
    <col min="15127" max="15127" width="11.42578125" style="154" customWidth="1"/>
    <col min="15128" max="15128" width="19.85546875" style="154" bestFit="1" customWidth="1"/>
    <col min="15129" max="15129" width="12.7109375" style="154" bestFit="1" customWidth="1"/>
    <col min="15130" max="15130" width="11.42578125" style="154" customWidth="1"/>
    <col min="15131" max="15131" width="10.7109375" style="154" bestFit="1" customWidth="1"/>
    <col min="15132" max="15132" width="11.140625" style="154" bestFit="1" customWidth="1"/>
    <col min="15133" max="15374" width="11.42578125" style="154"/>
    <col min="15375" max="15375" width="37.7109375" style="154" customWidth="1"/>
    <col min="15376" max="15376" width="21" style="154" customWidth="1"/>
    <col min="15377" max="15377" width="18.140625" style="154" customWidth="1"/>
    <col min="15378" max="15380" width="17.7109375" style="154" customWidth="1"/>
    <col min="15381" max="15382" width="18.140625" style="154" customWidth="1"/>
    <col min="15383" max="15383" width="11.42578125" style="154" customWidth="1"/>
    <col min="15384" max="15384" width="19.85546875" style="154" bestFit="1" customWidth="1"/>
    <col min="15385" max="15385" width="12.7109375" style="154" bestFit="1" customWidth="1"/>
    <col min="15386" max="15386" width="11.42578125" style="154" customWidth="1"/>
    <col min="15387" max="15387" width="10.7109375" style="154" bestFit="1" customWidth="1"/>
    <col min="15388" max="15388" width="11.140625" style="154" bestFit="1" customWidth="1"/>
    <col min="15389" max="15630" width="11.42578125" style="154"/>
    <col min="15631" max="15631" width="37.7109375" style="154" customWidth="1"/>
    <col min="15632" max="15632" width="21" style="154" customWidth="1"/>
    <col min="15633" max="15633" width="18.140625" style="154" customWidth="1"/>
    <col min="15634" max="15636" width="17.7109375" style="154" customWidth="1"/>
    <col min="15637" max="15638" width="18.140625" style="154" customWidth="1"/>
    <col min="15639" max="15639" width="11.42578125" style="154" customWidth="1"/>
    <col min="15640" max="15640" width="19.85546875" style="154" bestFit="1" customWidth="1"/>
    <col min="15641" max="15641" width="12.7109375" style="154" bestFit="1" customWidth="1"/>
    <col min="15642" max="15642" width="11.42578125" style="154" customWidth="1"/>
    <col min="15643" max="15643" width="10.7109375" style="154" bestFit="1" customWidth="1"/>
    <col min="15644" max="15644" width="11.140625" style="154" bestFit="1" customWidth="1"/>
    <col min="15645" max="15886" width="11.42578125" style="154"/>
    <col min="15887" max="15887" width="37.7109375" style="154" customWidth="1"/>
    <col min="15888" max="15888" width="21" style="154" customWidth="1"/>
    <col min="15889" max="15889" width="18.140625" style="154" customWidth="1"/>
    <col min="15890" max="15892" width="17.7109375" style="154" customWidth="1"/>
    <col min="15893" max="15894" width="18.140625" style="154" customWidth="1"/>
    <col min="15895" max="15895" width="11.42578125" style="154" customWidth="1"/>
    <col min="15896" max="15896" width="19.85546875" style="154" bestFit="1" customWidth="1"/>
    <col min="15897" max="15897" width="12.7109375" style="154" bestFit="1" customWidth="1"/>
    <col min="15898" max="15898" width="11.42578125" style="154" customWidth="1"/>
    <col min="15899" max="15899" width="10.7109375" style="154" bestFit="1" customWidth="1"/>
    <col min="15900" max="15900" width="11.140625" style="154" bestFit="1" customWidth="1"/>
    <col min="15901" max="16142" width="11.42578125" style="154"/>
    <col min="16143" max="16143" width="37.7109375" style="154" customWidth="1"/>
    <col min="16144" max="16144" width="21" style="154" customWidth="1"/>
    <col min="16145" max="16145" width="18.140625" style="154" customWidth="1"/>
    <col min="16146" max="16148" width="17.7109375" style="154" customWidth="1"/>
    <col min="16149" max="16150" width="18.140625" style="154" customWidth="1"/>
    <col min="16151" max="16151" width="11.42578125" style="154" customWidth="1"/>
    <col min="16152" max="16152" width="19.85546875" style="154" bestFit="1" customWidth="1"/>
    <col min="16153" max="16153" width="12.7109375" style="154" bestFit="1" customWidth="1"/>
    <col min="16154" max="16154" width="11.42578125" style="154" customWidth="1"/>
    <col min="16155" max="16155" width="10.7109375" style="154" bestFit="1" customWidth="1"/>
    <col min="16156" max="16156" width="11.140625" style="154" bestFit="1" customWidth="1"/>
    <col min="16157" max="16384" width="11.42578125" style="154"/>
  </cols>
  <sheetData>
    <row r="1" spans="1:27" ht="65.25" customHeight="1" thickBot="1" x14ac:dyDescent="0.25">
      <c r="A1" s="149"/>
      <c r="B1" s="150" t="s">
        <v>227</v>
      </c>
      <c r="C1" s="150" t="s">
        <v>167</v>
      </c>
      <c r="D1" s="150" t="s">
        <v>168</v>
      </c>
      <c r="E1" s="150" t="s">
        <v>169</v>
      </c>
      <c r="F1" s="150" t="s">
        <v>170</v>
      </c>
      <c r="G1" s="150" t="s">
        <v>171</v>
      </c>
      <c r="H1" s="150" t="s">
        <v>172</v>
      </c>
      <c r="I1" s="150" t="s">
        <v>173</v>
      </c>
      <c r="J1" s="150" t="s">
        <v>174</v>
      </c>
      <c r="K1" s="150" t="s">
        <v>175</v>
      </c>
      <c r="L1" s="150" t="s">
        <v>176</v>
      </c>
      <c r="M1" s="150" t="s">
        <v>177</v>
      </c>
      <c r="N1" s="150" t="s">
        <v>178</v>
      </c>
      <c r="O1" s="150" t="s">
        <v>179</v>
      </c>
      <c r="P1" s="150" t="s">
        <v>180</v>
      </c>
      <c r="Q1" s="150" t="s">
        <v>181</v>
      </c>
      <c r="R1" s="150" t="s">
        <v>182</v>
      </c>
      <c r="S1" s="150" t="s">
        <v>183</v>
      </c>
      <c r="T1" s="151" t="s">
        <v>184</v>
      </c>
      <c r="U1" s="152" t="s">
        <v>185</v>
      </c>
      <c r="V1" s="153" t="s">
        <v>186</v>
      </c>
      <c r="X1" s="155" t="s">
        <v>187</v>
      </c>
      <c r="Y1" s="156">
        <v>683000000</v>
      </c>
      <c r="Z1" s="157">
        <f>+C6-Y1</f>
        <v>-200000000.11000013</v>
      </c>
    </row>
    <row r="2" spans="1:27" ht="17.25" thickTop="1" thickBot="1" x14ac:dyDescent="0.3">
      <c r="A2" s="158" t="s">
        <v>188</v>
      </c>
      <c r="B2" s="159">
        <f t="shared" ref="B2:P2" si="0">+SUM(B3,B7,B8,B9,B10,B11,B12)</f>
        <v>145643000000</v>
      </c>
      <c r="C2" s="159">
        <f t="shared" si="0"/>
        <v>176282500000.90851</v>
      </c>
      <c r="D2" s="159">
        <f t="shared" si="0"/>
        <v>172825000001</v>
      </c>
      <c r="E2" s="159">
        <f t="shared" si="0"/>
        <v>7805279534.2800007</v>
      </c>
      <c r="F2" s="159">
        <f t="shared" si="0"/>
        <v>5023803952.96</v>
      </c>
      <c r="G2" s="159">
        <f t="shared" si="0"/>
        <v>7846529547.8100004</v>
      </c>
      <c r="H2" s="159">
        <f t="shared" si="0"/>
        <v>7392278824.8800011</v>
      </c>
      <c r="I2" s="159">
        <f t="shared" si="0"/>
        <v>5210900849.5700006</v>
      </c>
      <c r="J2" s="159">
        <f t="shared" si="0"/>
        <v>6790190551.4900007</v>
      </c>
      <c r="K2" s="159">
        <f t="shared" si="0"/>
        <v>6925674076.4899998</v>
      </c>
      <c r="L2" s="159">
        <f t="shared" si="0"/>
        <v>7145206691.9799986</v>
      </c>
      <c r="M2" s="159">
        <f t="shared" si="0"/>
        <v>4770284268.5599995</v>
      </c>
      <c r="N2" s="159">
        <f t="shared" si="0"/>
        <v>8117962211.8900013</v>
      </c>
      <c r="O2" s="159">
        <f t="shared" si="0"/>
        <v>7044730320.1899996</v>
      </c>
      <c r="P2" s="159">
        <f t="shared" si="0"/>
        <v>4058097811.8000002</v>
      </c>
      <c r="Q2" s="159">
        <f>+SUM(Q3,Q7,Q8,Q9,Q10,Q11,Q12)</f>
        <v>78130938641.900009</v>
      </c>
      <c r="R2" s="159">
        <f>+B2-Q2</f>
        <v>67512061358.099991</v>
      </c>
      <c r="S2" s="159">
        <f>+D2-Q2</f>
        <v>94694061359.099991</v>
      </c>
      <c r="T2" s="160">
        <f>+Q2/B2</f>
        <v>0.53645515844839786</v>
      </c>
      <c r="U2" s="161">
        <f>+Q2/D2</f>
        <v>0.45208123038592757</v>
      </c>
      <c r="V2" s="162">
        <f>Q2/X2-1</f>
        <v>1.612316876225619</v>
      </c>
      <c r="W2" s="156">
        <v>2591.2670909100002</v>
      </c>
      <c r="X2" s="163">
        <v>29908675839.811111</v>
      </c>
    </row>
    <row r="3" spans="1:27" s="171" customFormat="1" ht="16.5" thickTop="1" x14ac:dyDescent="0.25">
      <c r="A3" s="164" t="s">
        <v>189</v>
      </c>
      <c r="B3" s="165">
        <f>+SUM(B4:B6)</f>
        <v>99169448521</v>
      </c>
      <c r="C3" s="165">
        <f t="shared" ref="C3:G3" si="1">+SUM(C4:C6)</f>
        <v>124975238899.36351</v>
      </c>
      <c r="D3" s="165">
        <f t="shared" si="1"/>
        <v>114275004655</v>
      </c>
      <c r="E3" s="165">
        <f t="shared" si="1"/>
        <v>7477146461</v>
      </c>
      <c r="F3" s="165">
        <f t="shared" si="1"/>
        <v>4896134093.3800001</v>
      </c>
      <c r="G3" s="165">
        <f t="shared" si="1"/>
        <v>7674643550</v>
      </c>
      <c r="H3" s="165">
        <f t="shared" ref="H3:P3" si="2">+SUM(H4:H6)</f>
        <v>7079122298.9400005</v>
      </c>
      <c r="I3" s="165">
        <f t="shared" si="2"/>
        <v>5205108918.3300009</v>
      </c>
      <c r="J3" s="165">
        <f t="shared" si="2"/>
        <v>6497247893.5600004</v>
      </c>
      <c r="K3" s="165">
        <f t="shared" si="2"/>
        <v>6925674076.4899998</v>
      </c>
      <c r="L3" s="165">
        <f t="shared" si="2"/>
        <v>7145206691.9799986</v>
      </c>
      <c r="M3" s="165">
        <f t="shared" si="2"/>
        <v>4651177019.8999996</v>
      </c>
      <c r="N3" s="165">
        <f t="shared" si="2"/>
        <v>7929243157.6600008</v>
      </c>
      <c r="O3" s="165">
        <f t="shared" si="2"/>
        <v>6830758293.6399994</v>
      </c>
      <c r="P3" s="165">
        <f t="shared" si="2"/>
        <v>4058097811.8000002</v>
      </c>
      <c r="Q3" s="165">
        <f>+SUM(Q4:Q6)</f>
        <v>76369560266.680008</v>
      </c>
      <c r="R3" s="165">
        <f t="shared" ref="R3:R43" si="3">+B3-Q3</f>
        <v>22799888254.319992</v>
      </c>
      <c r="S3" s="165">
        <f t="shared" ref="S3:S39" si="4">+D3-Q3</f>
        <v>37905444388.319992</v>
      </c>
      <c r="T3" s="166">
        <f t="shared" ref="T3:T44" si="5">+Q3/B3</f>
        <v>0.77009160992266767</v>
      </c>
      <c r="U3" s="167">
        <f t="shared" ref="U3:U44" si="6">+Q3/D3</f>
        <v>0.6682962778889594</v>
      </c>
      <c r="V3" s="168">
        <f>Q3/X3-1</f>
        <v>1.7154127778660877</v>
      </c>
      <c r="W3" s="8">
        <v>2719.5737186599999</v>
      </c>
      <c r="X3" s="169">
        <v>28124475545.370003</v>
      </c>
      <c r="Y3" s="170"/>
    </row>
    <row r="4" spans="1:27" s="180" customFormat="1" ht="15.75" x14ac:dyDescent="0.25">
      <c r="A4" s="172" t="s">
        <v>190</v>
      </c>
      <c r="B4" s="173">
        <v>75151749207</v>
      </c>
      <c r="C4" s="173">
        <v>84728523213.860901</v>
      </c>
      <c r="D4" s="173">
        <v>69309594044</v>
      </c>
      <c r="E4" s="173">
        <v>5084983155</v>
      </c>
      <c r="F4" s="173">
        <v>2525339038.8699999</v>
      </c>
      <c r="G4" s="173">
        <v>3967069539</v>
      </c>
      <c r="H4" s="173">
        <v>3755392978.9900002</v>
      </c>
      <c r="I4" s="173">
        <v>3376316129</v>
      </c>
      <c r="J4" s="173">
        <v>2884506620.0599999</v>
      </c>
      <c r="K4" s="173">
        <v>3621325663.1600003</v>
      </c>
      <c r="L4" s="173">
        <v>3478562812.9799995</v>
      </c>
      <c r="M4" s="173">
        <v>1799266243.7</v>
      </c>
      <c r="N4" s="173">
        <v>3756548935.1800003</v>
      </c>
      <c r="O4" s="173">
        <v>3648778315.1199999</v>
      </c>
      <c r="P4" s="173">
        <v>2684777321.8000002</v>
      </c>
      <c r="Q4" s="173">
        <f>+SUM(E4:P4)</f>
        <v>40582866752.860008</v>
      </c>
      <c r="R4" s="173">
        <f>+B4-Q4</f>
        <v>34568882454.139992</v>
      </c>
      <c r="S4" s="173">
        <f t="shared" si="4"/>
        <v>28726727291.139992</v>
      </c>
      <c r="T4" s="174">
        <f t="shared" si="5"/>
        <v>0.54001227091970228</v>
      </c>
      <c r="U4" s="175">
        <f t="shared" si="6"/>
        <v>0.58553029075739027</v>
      </c>
      <c r="V4" s="176">
        <f>Q4/X4-1</f>
        <v>1.4565398052233318</v>
      </c>
      <c r="W4" s="177">
        <v>10.79683751</v>
      </c>
      <c r="X4" s="178">
        <v>16520337535.98</v>
      </c>
      <c r="Y4" s="177"/>
      <c r="Z4" s="179">
        <f>+D4/$D$3</f>
        <v>0.60651578403560735</v>
      </c>
    </row>
    <row r="5" spans="1:27" s="180" customFormat="1" ht="15.75" x14ac:dyDescent="0.25">
      <c r="A5" s="172" t="s">
        <v>191</v>
      </c>
      <c r="B5" s="173">
        <v>20469494314</v>
      </c>
      <c r="C5" s="173">
        <v>39763715685.612602</v>
      </c>
      <c r="D5" s="173">
        <v>41965410611</v>
      </c>
      <c r="E5" s="173">
        <v>2294606527</v>
      </c>
      <c r="F5" s="173">
        <v>2366845455.3899999</v>
      </c>
      <c r="G5" s="173">
        <v>3689929188</v>
      </c>
      <c r="H5" s="173">
        <v>3311467232.4900002</v>
      </c>
      <c r="I5" s="173">
        <v>1825442185.27</v>
      </c>
      <c r="J5" s="173">
        <v>3463202099.9100003</v>
      </c>
      <c r="K5" s="173">
        <v>3291219824.2599993</v>
      </c>
      <c r="L5" s="173">
        <v>3603860284.4299994</v>
      </c>
      <c r="M5" s="173">
        <v>2850871062.1999998</v>
      </c>
      <c r="N5" s="173">
        <v>4167688582.1200004</v>
      </c>
      <c r="O5" s="173">
        <v>3173885341.9400001</v>
      </c>
      <c r="P5" s="173">
        <v>1372785656.6700001</v>
      </c>
      <c r="Q5" s="173">
        <f t="shared" ref="Q5:Q6" si="7">+SUM(E5:P5)</f>
        <v>35411803439.68</v>
      </c>
      <c r="R5" s="173">
        <f t="shared" si="3"/>
        <v>-14942309125.68</v>
      </c>
      <c r="S5" s="173">
        <f t="shared" si="4"/>
        <v>6553607171.3199997</v>
      </c>
      <c r="T5" s="174">
        <f t="shared" si="5"/>
        <v>1.7299793974617286</v>
      </c>
      <c r="U5" s="175">
        <f t="shared" si="6"/>
        <v>0.84383312170899705</v>
      </c>
      <c r="V5" s="176" t="s">
        <v>61</v>
      </c>
      <c r="X5" s="178">
        <v>9868718343.7999992</v>
      </c>
      <c r="Y5" s="177">
        <f>+Y6*1000000</f>
        <v>1895613008.5299997</v>
      </c>
      <c r="Z5" s="179">
        <f t="shared" ref="Z5:Z6" si="8">+D5/$D$3</f>
        <v>0.36723175586555395</v>
      </c>
    </row>
    <row r="6" spans="1:27" s="180" customFormat="1" ht="15.75" x14ac:dyDescent="0.25">
      <c r="A6" s="172" t="s">
        <v>192</v>
      </c>
      <c r="B6" s="173">
        <v>3548205000</v>
      </c>
      <c r="C6" s="173">
        <v>482999999.88999987</v>
      </c>
      <c r="D6" s="173">
        <v>3000000000</v>
      </c>
      <c r="E6" s="173">
        <v>97556779</v>
      </c>
      <c r="F6" s="173">
        <v>3949599.1199999996</v>
      </c>
      <c r="G6" s="173">
        <v>17644823</v>
      </c>
      <c r="H6" s="173">
        <v>12262087.460000001</v>
      </c>
      <c r="I6" s="173">
        <v>3350604.06</v>
      </c>
      <c r="J6" s="173">
        <v>149539173.58999997</v>
      </c>
      <c r="K6" s="173">
        <v>13128589.07</v>
      </c>
      <c r="L6" s="173">
        <v>62783594.57</v>
      </c>
      <c r="M6" s="173">
        <v>1039714</v>
      </c>
      <c r="N6" s="173">
        <v>5005640.3600000003</v>
      </c>
      <c r="O6" s="173">
        <v>8094636.5799999991</v>
      </c>
      <c r="P6" s="173">
        <v>534833.32999999996</v>
      </c>
      <c r="Q6" s="173">
        <f t="shared" si="7"/>
        <v>374890074.13999999</v>
      </c>
      <c r="R6" s="173">
        <f t="shared" si="3"/>
        <v>3173314925.8600001</v>
      </c>
      <c r="S6" s="173">
        <f t="shared" si="4"/>
        <v>2625109925.8600001</v>
      </c>
      <c r="T6" s="174">
        <f t="shared" si="5"/>
        <v>0.10565626116303878</v>
      </c>
      <c r="U6" s="175">
        <f t="shared" si="6"/>
        <v>0.12496335804666667</v>
      </c>
      <c r="V6" s="181">
        <f>Q6/X6-1</f>
        <v>-0.7839772813611936</v>
      </c>
      <c r="X6" s="178">
        <v>1735419665.5900002</v>
      </c>
      <c r="Y6" s="177">
        <v>1895.6130085299997</v>
      </c>
      <c r="Z6" s="179">
        <f t="shared" si="8"/>
        <v>2.6252460098838751E-2</v>
      </c>
    </row>
    <row r="7" spans="1:27" s="171" customFormat="1" ht="15.75" x14ac:dyDescent="0.25">
      <c r="A7" s="182" t="s">
        <v>193</v>
      </c>
      <c r="B7" s="183">
        <v>7904250000</v>
      </c>
      <c r="C7" s="183">
        <v>5744739000</v>
      </c>
      <c r="D7" s="183">
        <v>4525950000</v>
      </c>
      <c r="E7" s="184">
        <v>0</v>
      </c>
      <c r="F7" s="184">
        <v>0</v>
      </c>
      <c r="G7" s="184">
        <v>0</v>
      </c>
      <c r="H7" s="184">
        <v>0</v>
      </c>
      <c r="I7" s="184"/>
      <c r="J7" s="184"/>
      <c r="K7" s="184"/>
      <c r="L7" s="184"/>
      <c r="M7" s="184"/>
      <c r="N7" s="184"/>
      <c r="O7" s="184"/>
      <c r="P7" s="184"/>
      <c r="Q7" s="183">
        <f>+SUM(E7:P7)</f>
        <v>0</v>
      </c>
      <c r="R7" s="183">
        <f t="shared" si="3"/>
        <v>7904250000</v>
      </c>
      <c r="S7" s="183">
        <f t="shared" si="4"/>
        <v>4525950000</v>
      </c>
      <c r="T7" s="185">
        <f t="shared" si="5"/>
        <v>0</v>
      </c>
      <c r="U7" s="186">
        <f t="shared" si="6"/>
        <v>0</v>
      </c>
      <c r="V7" s="187"/>
      <c r="X7" s="188">
        <v>0</v>
      </c>
      <c r="Y7" s="170">
        <f>858.36158701*1000000</f>
        <v>858361587.00999999</v>
      </c>
    </row>
    <row r="8" spans="1:27" s="171" customFormat="1" ht="15.75" x14ac:dyDescent="0.25">
      <c r="A8" s="189" t="s">
        <v>194</v>
      </c>
      <c r="B8" s="183">
        <v>5103560854</v>
      </c>
      <c r="C8" s="183">
        <v>3443737716.8450003</v>
      </c>
      <c r="D8" s="183">
        <v>3766435001</v>
      </c>
      <c r="E8" s="184">
        <v>195129020.81</v>
      </c>
      <c r="F8" s="184">
        <v>9811576.6900000013</v>
      </c>
      <c r="G8" s="184">
        <v>21755017.169999998</v>
      </c>
      <c r="H8" s="184">
        <v>164602424.81</v>
      </c>
      <c r="I8" s="184">
        <v>5791931.2400000002</v>
      </c>
      <c r="J8" s="184">
        <v>5751062.1299999999</v>
      </c>
      <c r="K8" s="184"/>
      <c r="L8" s="184"/>
      <c r="M8" s="184"/>
      <c r="N8" s="184"/>
      <c r="O8" s="184"/>
      <c r="P8" s="184"/>
      <c r="Q8" s="183">
        <f t="shared" ref="Q8:Q12" si="9">+SUM(E8:P8)</f>
        <v>402841032.85000002</v>
      </c>
      <c r="R8" s="183">
        <f t="shared" si="3"/>
        <v>4700719821.1499996</v>
      </c>
      <c r="S8" s="183">
        <f t="shared" si="4"/>
        <v>3363593968.1500001</v>
      </c>
      <c r="T8" s="185">
        <f t="shared" si="5"/>
        <v>7.8933326039262702E-2</v>
      </c>
      <c r="U8" s="186">
        <f t="shared" si="6"/>
        <v>0.10695552498398207</v>
      </c>
      <c r="V8" s="190">
        <f>Q8/X8-1</f>
        <v>-0.38912503335422177</v>
      </c>
      <c r="W8" s="191"/>
      <c r="X8" s="188">
        <v>659449240.59000003</v>
      </c>
      <c r="Y8" s="170"/>
      <c r="AA8" s="192"/>
    </row>
    <row r="9" spans="1:27" s="171" customFormat="1" ht="15.75" x14ac:dyDescent="0.25">
      <c r="A9" s="189" t="s">
        <v>195</v>
      </c>
      <c r="B9" s="183">
        <v>3433746969</v>
      </c>
      <c r="C9" s="183">
        <v>3014817640</v>
      </c>
      <c r="D9" s="183">
        <v>3740999999</v>
      </c>
      <c r="E9" s="184">
        <v>133004052.47</v>
      </c>
      <c r="F9" s="184">
        <v>117858282.89</v>
      </c>
      <c r="G9" s="184">
        <v>150130980.63999999</v>
      </c>
      <c r="H9" s="184">
        <v>148554101.13</v>
      </c>
      <c r="I9" s="184"/>
      <c r="J9" s="184">
        <v>287191595.80000001</v>
      </c>
      <c r="K9" s="184"/>
      <c r="L9" s="184"/>
      <c r="M9" s="184">
        <v>119107248.66</v>
      </c>
      <c r="N9" s="184">
        <v>188719054.23000002</v>
      </c>
      <c r="O9" s="184">
        <v>213972026.55000001</v>
      </c>
      <c r="P9" s="184"/>
      <c r="Q9" s="183">
        <f t="shared" si="9"/>
        <v>1358537342.3700001</v>
      </c>
      <c r="R9" s="183">
        <f t="shared" si="3"/>
        <v>2075209626.6299999</v>
      </c>
      <c r="S9" s="183">
        <f t="shared" si="4"/>
        <v>2382462656.6300001</v>
      </c>
      <c r="T9" s="185">
        <f t="shared" si="5"/>
        <v>0.39564282244292537</v>
      </c>
      <c r="U9" s="186">
        <f t="shared" si="6"/>
        <v>0.36314818036170765</v>
      </c>
      <c r="V9" s="187"/>
      <c r="X9" s="188">
        <v>1124751053.8511112</v>
      </c>
      <c r="Y9" s="170"/>
    </row>
    <row r="10" spans="1:27" s="171" customFormat="1" ht="15.75" x14ac:dyDescent="0.25">
      <c r="A10" s="189" t="s">
        <v>196</v>
      </c>
      <c r="B10" s="183">
        <v>21952216136</v>
      </c>
      <c r="C10" s="183">
        <v>24549371371.699997</v>
      </c>
      <c r="D10" s="183">
        <v>25886533314</v>
      </c>
      <c r="E10" s="184"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3">
        <f t="shared" si="9"/>
        <v>0</v>
      </c>
      <c r="R10" s="183">
        <f t="shared" si="3"/>
        <v>21952216136</v>
      </c>
      <c r="S10" s="183">
        <f t="shared" si="4"/>
        <v>25886533314</v>
      </c>
      <c r="T10" s="185">
        <f t="shared" si="5"/>
        <v>0</v>
      </c>
      <c r="U10" s="186">
        <f t="shared" si="6"/>
        <v>0</v>
      </c>
      <c r="V10" s="187"/>
      <c r="X10" s="188">
        <v>0</v>
      </c>
      <c r="Y10" s="170"/>
    </row>
    <row r="11" spans="1:27" s="171" customFormat="1" ht="15.75" x14ac:dyDescent="0.25">
      <c r="A11" s="189" t="s">
        <v>197</v>
      </c>
      <c r="B11" s="183">
        <v>4811176041</v>
      </c>
      <c r="C11" s="183">
        <v>11555073271</v>
      </c>
      <c r="D11" s="183">
        <v>11631031685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3">
        <f t="shared" si="9"/>
        <v>0</v>
      </c>
      <c r="R11" s="183">
        <f t="shared" si="3"/>
        <v>4811176041</v>
      </c>
      <c r="S11" s="183">
        <f t="shared" si="4"/>
        <v>11631031685</v>
      </c>
      <c r="T11" s="185">
        <f t="shared" si="5"/>
        <v>0</v>
      </c>
      <c r="U11" s="186">
        <f t="shared" si="6"/>
        <v>0</v>
      </c>
      <c r="V11" s="187"/>
      <c r="W11" s="171">
        <v>867.95835651000004</v>
      </c>
      <c r="X11" s="188">
        <v>0</v>
      </c>
      <c r="Y11" s="170"/>
    </row>
    <row r="12" spans="1:27" s="171" customFormat="1" ht="16.5" thickBot="1" x14ac:dyDescent="0.3">
      <c r="A12" s="189" t="s">
        <v>198</v>
      </c>
      <c r="B12" s="183">
        <v>3268601479</v>
      </c>
      <c r="C12" s="183">
        <v>2999522102</v>
      </c>
      <c r="D12" s="183">
        <v>8999045347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183">
        <f t="shared" si="9"/>
        <v>0</v>
      </c>
      <c r="R12" s="183">
        <f t="shared" si="3"/>
        <v>3268601479</v>
      </c>
      <c r="S12" s="183">
        <f t="shared" si="4"/>
        <v>8999045347</v>
      </c>
      <c r="T12" s="185">
        <f t="shared" si="5"/>
        <v>0</v>
      </c>
      <c r="U12" s="186">
        <f t="shared" si="6"/>
        <v>0</v>
      </c>
      <c r="V12" s="187"/>
      <c r="W12" s="171">
        <v>1303.8716281300001</v>
      </c>
      <c r="X12" s="188">
        <v>0</v>
      </c>
      <c r="Y12" s="170"/>
    </row>
    <row r="13" spans="1:27" s="171" customFormat="1" ht="17.25" thickTop="1" thickBot="1" x14ac:dyDescent="0.3">
      <c r="A13" s="193" t="s">
        <v>199</v>
      </c>
      <c r="B13" s="194">
        <f t="shared" ref="B13:Q13" si="10">+B14+B25</f>
        <v>145643000000</v>
      </c>
      <c r="C13" s="194">
        <f t="shared" si="10"/>
        <v>176282499999.56415</v>
      </c>
      <c r="D13" s="194">
        <f t="shared" si="10"/>
        <v>172825000000.29913</v>
      </c>
      <c r="E13" s="194">
        <f t="shared" si="10"/>
        <v>5288801553.0799999</v>
      </c>
      <c r="F13" s="194">
        <f t="shared" si="10"/>
        <v>8896115246.9899979</v>
      </c>
      <c r="G13" s="194">
        <f t="shared" si="10"/>
        <v>13454777118.969997</v>
      </c>
      <c r="H13" s="194">
        <f t="shared" si="10"/>
        <v>7291358727.5800009</v>
      </c>
      <c r="I13" s="194">
        <f t="shared" si="10"/>
        <v>3951996086.1099992</v>
      </c>
      <c r="J13" s="194">
        <f t="shared" si="10"/>
        <v>5340622210.1399994</v>
      </c>
      <c r="K13" s="194">
        <f t="shared" si="10"/>
        <v>5318679082.3999987</v>
      </c>
      <c r="L13" s="194">
        <f t="shared" si="10"/>
        <v>8979754299.2599983</v>
      </c>
      <c r="M13" s="194">
        <f t="shared" si="10"/>
        <v>3578332512.0600004</v>
      </c>
      <c r="N13" s="194">
        <f t="shared" si="10"/>
        <v>6958906259.0500002</v>
      </c>
      <c r="O13" s="194">
        <f t="shared" si="10"/>
        <v>10213852095.030001</v>
      </c>
      <c r="P13" s="194">
        <f t="shared" si="10"/>
        <v>9275700294.2299976</v>
      </c>
      <c r="Q13" s="194">
        <f t="shared" si="10"/>
        <v>88548895484.899994</v>
      </c>
      <c r="R13" s="194">
        <f t="shared" si="3"/>
        <v>57094104515.100006</v>
      </c>
      <c r="S13" s="194">
        <f t="shared" si="4"/>
        <v>84276104515.399139</v>
      </c>
      <c r="T13" s="195">
        <f t="shared" si="5"/>
        <v>0.60798593468206497</v>
      </c>
      <c r="U13" s="196">
        <f t="shared" si="6"/>
        <v>0.5123616113684174</v>
      </c>
      <c r="V13" s="197">
        <f t="shared" ref="V13:V28" si="11">Q13/X13-1</f>
        <v>1.7454393434547231</v>
      </c>
      <c r="W13" s="171">
        <v>1.9539212600000002</v>
      </c>
      <c r="X13" s="198">
        <v>32253087541.709991</v>
      </c>
      <c r="Y13" s="170"/>
    </row>
    <row r="14" spans="1:27" s="171" customFormat="1" ht="16.5" thickTop="1" x14ac:dyDescent="0.25">
      <c r="A14" s="199" t="s">
        <v>200</v>
      </c>
      <c r="B14" s="200">
        <f t="shared" ref="B14:Q14" si="12">+B15+B16+B19+B22</f>
        <v>83942491458</v>
      </c>
      <c r="C14" s="200">
        <f t="shared" si="12"/>
        <v>90101459272.129135</v>
      </c>
      <c r="D14" s="200">
        <f>+D15+D16+D19+D22</f>
        <v>90933565178.909119</v>
      </c>
      <c r="E14" s="200">
        <f t="shared" si="12"/>
        <v>3974282265.8700004</v>
      </c>
      <c r="F14" s="200">
        <f t="shared" si="12"/>
        <v>7479333508.3599987</v>
      </c>
      <c r="G14" s="200">
        <f t="shared" si="12"/>
        <v>10953896347.529997</v>
      </c>
      <c r="H14" s="200">
        <f t="shared" si="12"/>
        <v>5913410179.6500006</v>
      </c>
      <c r="I14" s="200">
        <f t="shared" si="12"/>
        <v>3105295799.1899991</v>
      </c>
      <c r="J14" s="200">
        <f t="shared" si="12"/>
        <v>4742556535.6599998</v>
      </c>
      <c r="K14" s="200">
        <f t="shared" si="12"/>
        <v>5020410007.7999983</v>
      </c>
      <c r="L14" s="200">
        <f t="shared" si="12"/>
        <v>7173437146.4399977</v>
      </c>
      <c r="M14" s="200">
        <f t="shared" si="12"/>
        <v>1997430260.0100002</v>
      </c>
      <c r="N14" s="200">
        <f t="shared" si="12"/>
        <v>6819438626.8000002</v>
      </c>
      <c r="O14" s="200">
        <f t="shared" si="12"/>
        <v>7521846992.6000013</v>
      </c>
      <c r="P14" s="200">
        <f t="shared" si="12"/>
        <v>8700460861.8799973</v>
      </c>
      <c r="Q14" s="200">
        <f t="shared" si="12"/>
        <v>73401798531.789993</v>
      </c>
      <c r="R14" s="200">
        <f t="shared" si="3"/>
        <v>10540692926.210007</v>
      </c>
      <c r="S14" s="200">
        <f t="shared" si="4"/>
        <v>17531766647.119125</v>
      </c>
      <c r="T14" s="201">
        <f t="shared" si="5"/>
        <v>0.87442959169869339</v>
      </c>
      <c r="U14" s="202">
        <f t="shared" si="6"/>
        <v>0.80720247124781819</v>
      </c>
      <c r="V14" s="203">
        <f t="shared" si="11"/>
        <v>1.9000375480199012</v>
      </c>
      <c r="W14" s="191"/>
      <c r="X14" s="204">
        <v>25310637299.12999</v>
      </c>
      <c r="Y14" s="170"/>
    </row>
    <row r="15" spans="1:27" s="171" customFormat="1" ht="15.75" x14ac:dyDescent="0.25">
      <c r="A15" s="205" t="s">
        <v>201</v>
      </c>
      <c r="B15" s="206">
        <v>41997956754</v>
      </c>
      <c r="C15" s="206">
        <v>45655391113.829796</v>
      </c>
      <c r="D15" s="206">
        <v>47835794529.389786</v>
      </c>
      <c r="E15" s="206">
        <v>1647224652.7900002</v>
      </c>
      <c r="F15" s="206">
        <v>4570749854.2199984</v>
      </c>
      <c r="G15" s="206">
        <v>5845877075.9099979</v>
      </c>
      <c r="H15" s="206">
        <v>3236696156.0700002</v>
      </c>
      <c r="I15" s="206">
        <v>1969758958.3999994</v>
      </c>
      <c r="J15" s="206">
        <v>3051647222.23</v>
      </c>
      <c r="K15" s="206">
        <v>3203475907.0699992</v>
      </c>
      <c r="L15" s="206">
        <v>4166284543.7099986</v>
      </c>
      <c r="M15" s="206">
        <v>788762324.2700001</v>
      </c>
      <c r="N15" s="206">
        <v>5021780543.2799997</v>
      </c>
      <c r="O15" s="206">
        <v>4102671054.4000015</v>
      </c>
      <c r="P15" s="206">
        <v>3772512896.9099975</v>
      </c>
      <c r="Q15" s="206">
        <f>+SUM(E15:P15)</f>
        <v>41377441189.259987</v>
      </c>
      <c r="R15" s="206">
        <f t="shared" si="3"/>
        <v>620515564.74001312</v>
      </c>
      <c r="S15" s="206">
        <f t="shared" si="4"/>
        <v>6458353340.1297989</v>
      </c>
      <c r="T15" s="207">
        <f t="shared" si="5"/>
        <v>0.98522510110730777</v>
      </c>
      <c r="U15" s="208">
        <f t="shared" si="6"/>
        <v>0.86498910692991926</v>
      </c>
      <c r="V15" s="209">
        <f t="shared" si="11"/>
        <v>1.8447859772739283</v>
      </c>
      <c r="W15" s="191"/>
      <c r="X15" s="210">
        <v>14545010246.749994</v>
      </c>
      <c r="Y15" s="170"/>
      <c r="AA15" s="171">
        <f>+'[46]résumé Novembre17'!$C$12-F13</f>
        <v>-1659412394.4499989</v>
      </c>
    </row>
    <row r="16" spans="1:27" s="171" customFormat="1" ht="15.75" x14ac:dyDescent="0.25">
      <c r="A16" s="205" t="s">
        <v>202</v>
      </c>
      <c r="B16" s="206">
        <f>+SUM(B17:B18)</f>
        <v>25587323829</v>
      </c>
      <c r="C16" s="206">
        <f t="shared" ref="C16:E16" si="13">+SUM(C17:C18)</f>
        <v>30443594923.333332</v>
      </c>
      <c r="D16" s="206">
        <f t="shared" si="13"/>
        <v>29799095943.333332</v>
      </c>
      <c r="E16" s="206">
        <f t="shared" si="13"/>
        <v>1898129337.02</v>
      </c>
      <c r="F16" s="206">
        <f>+SUM(F17:F18)</f>
        <v>2105798217</v>
      </c>
      <c r="G16" s="206">
        <f t="shared" ref="G16:P16" si="14">+SUM(G17:G18)</f>
        <v>3310668093.5799994</v>
      </c>
      <c r="H16" s="206">
        <f t="shared" si="14"/>
        <v>1936878944.02</v>
      </c>
      <c r="I16" s="206">
        <f t="shared" si="14"/>
        <v>726392249.89999998</v>
      </c>
      <c r="J16" s="206">
        <f t="shared" si="14"/>
        <v>1140989573.5900002</v>
      </c>
      <c r="K16" s="206">
        <f t="shared" si="14"/>
        <v>1373891191.04</v>
      </c>
      <c r="L16" s="206">
        <f t="shared" si="14"/>
        <v>1998520296.2899995</v>
      </c>
      <c r="M16" s="206">
        <f t="shared" si="14"/>
        <v>737769416.85000014</v>
      </c>
      <c r="N16" s="206">
        <f t="shared" si="14"/>
        <v>1641832998.3799999</v>
      </c>
      <c r="O16" s="206">
        <f t="shared" si="14"/>
        <v>2119824882.6600003</v>
      </c>
      <c r="P16" s="206">
        <f t="shared" si="14"/>
        <v>4023521912.1299996</v>
      </c>
      <c r="Q16" s="206">
        <f>+SUM(Q17:Q18)</f>
        <v>23014217112.459995</v>
      </c>
      <c r="R16" s="206">
        <f t="shared" si="3"/>
        <v>2573106716.5400047</v>
      </c>
      <c r="S16" s="206">
        <f t="shared" si="4"/>
        <v>6784878830.8733368</v>
      </c>
      <c r="T16" s="207">
        <f t="shared" si="5"/>
        <v>0.89943822442174615</v>
      </c>
      <c r="U16" s="208">
        <f t="shared" si="6"/>
        <v>0.77231259485940029</v>
      </c>
      <c r="V16" s="209">
        <f t="shared" si="11"/>
        <v>1.9593141294029777</v>
      </c>
      <c r="W16" s="191"/>
      <c r="X16" s="210">
        <v>7776875352.2299995</v>
      </c>
      <c r="Y16" s="170"/>
    </row>
    <row r="17" spans="1:28" s="171" customFormat="1" ht="15.75" x14ac:dyDescent="0.25">
      <c r="A17" s="211" t="s">
        <v>203</v>
      </c>
      <c r="B17" s="212">
        <v>19658741925</v>
      </c>
      <c r="C17" s="212">
        <v>23479730242</v>
      </c>
      <c r="D17" s="212">
        <v>20816283548</v>
      </c>
      <c r="E17" s="212">
        <v>1369368146.02</v>
      </c>
      <c r="F17" s="212">
        <v>1905015717</v>
      </c>
      <c r="G17" s="212">
        <v>3000008615.5799994</v>
      </c>
      <c r="H17" s="212">
        <v>1658922920.02</v>
      </c>
      <c r="I17" s="212">
        <v>508838529.89999998</v>
      </c>
      <c r="J17" s="212">
        <v>894482688.59000027</v>
      </c>
      <c r="K17" s="212">
        <v>994088054.03999996</v>
      </c>
      <c r="L17" s="212">
        <v>1627394326.2899995</v>
      </c>
      <c r="M17" s="212">
        <v>640110856.85000014</v>
      </c>
      <c r="N17" s="212">
        <v>1357231826.3799999</v>
      </c>
      <c r="O17" s="212">
        <v>1926107030.6600003</v>
      </c>
      <c r="P17" s="212">
        <v>2816551813.1299996</v>
      </c>
      <c r="Q17" s="212">
        <f>SUM(E17:P17)</f>
        <v>18698120524.459995</v>
      </c>
      <c r="R17" s="212">
        <f t="shared" si="3"/>
        <v>960621400.54000473</v>
      </c>
      <c r="S17" s="212">
        <f t="shared" si="4"/>
        <v>2118163023.5400047</v>
      </c>
      <c r="T17" s="213">
        <f t="shared" si="5"/>
        <v>0.95113515380562663</v>
      </c>
      <c r="U17" s="214">
        <f t="shared" si="6"/>
        <v>0.89824489954435138</v>
      </c>
      <c r="V17" s="215">
        <f t="shared" si="11"/>
        <v>1.7219275802082663</v>
      </c>
      <c r="X17" s="216">
        <v>6869440855.2299995</v>
      </c>
      <c r="Y17" s="170"/>
    </row>
    <row r="18" spans="1:28" s="171" customFormat="1" ht="15.75" x14ac:dyDescent="0.25">
      <c r="A18" s="211" t="s">
        <v>204</v>
      </c>
      <c r="B18" s="212">
        <v>5928581904</v>
      </c>
      <c r="C18" s="212">
        <v>6963864681.3333321</v>
      </c>
      <c r="D18" s="212">
        <v>8982812395.3333321</v>
      </c>
      <c r="E18" s="212">
        <v>528761191</v>
      </c>
      <c r="F18" s="212">
        <v>200782500</v>
      </c>
      <c r="G18" s="212">
        <v>310659478</v>
      </c>
      <c r="H18" s="212">
        <v>277956024</v>
      </c>
      <c r="I18" s="212">
        <v>217553720</v>
      </c>
      <c r="J18" s="212">
        <v>246506885</v>
      </c>
      <c r="K18" s="212">
        <v>379803137</v>
      </c>
      <c r="L18" s="212">
        <v>371125970</v>
      </c>
      <c r="M18" s="212">
        <v>97658560</v>
      </c>
      <c r="N18" s="212">
        <v>284601172</v>
      </c>
      <c r="O18" s="212">
        <v>193717852</v>
      </c>
      <c r="P18" s="212">
        <v>1206970099</v>
      </c>
      <c r="Q18" s="212">
        <f>SUM(E18:P18)</f>
        <v>4316096588</v>
      </c>
      <c r="R18" s="212">
        <f t="shared" si="3"/>
        <v>1612485316</v>
      </c>
      <c r="S18" s="212">
        <f t="shared" si="4"/>
        <v>4666715807.3333321</v>
      </c>
      <c r="T18" s="213">
        <f t="shared" si="5"/>
        <v>0.72801500559314869</v>
      </c>
      <c r="U18" s="214">
        <f t="shared" si="6"/>
        <v>0.48048388389389707</v>
      </c>
      <c r="V18" s="215">
        <f t="shared" si="11"/>
        <v>3.7563726112122886</v>
      </c>
      <c r="X18" s="216">
        <v>907434497</v>
      </c>
      <c r="Y18" s="170"/>
    </row>
    <row r="19" spans="1:28" s="171" customFormat="1" ht="15.75" x14ac:dyDescent="0.25">
      <c r="A19" s="205" t="s">
        <v>205</v>
      </c>
      <c r="B19" s="206">
        <f>+SUM(B20:B21)</f>
        <v>13246695170</v>
      </c>
      <c r="C19" s="206">
        <f t="shared" ref="C19:F19" si="15">+SUM(C20:C21)</f>
        <v>10395697940.185999</v>
      </c>
      <c r="D19" s="206">
        <f t="shared" si="15"/>
        <v>9691899411.1859989</v>
      </c>
      <c r="E19" s="206">
        <f t="shared" si="15"/>
        <v>328429434.06</v>
      </c>
      <c r="F19" s="206">
        <f t="shared" si="15"/>
        <v>711355358.60000002</v>
      </c>
      <c r="G19" s="206">
        <f t="shared" ref="G19:P19" si="16">+SUM(G20:G21)</f>
        <v>1577422788.8300002</v>
      </c>
      <c r="H19" s="206">
        <f t="shared" si="16"/>
        <v>614235983.5</v>
      </c>
      <c r="I19" s="206">
        <f t="shared" si="16"/>
        <v>250545914</v>
      </c>
      <c r="J19" s="206">
        <f t="shared" si="16"/>
        <v>417209078.19</v>
      </c>
      <c r="K19" s="206">
        <f t="shared" si="16"/>
        <v>442181714.39999998</v>
      </c>
      <c r="L19" s="206">
        <f t="shared" si="16"/>
        <v>725615533.03999996</v>
      </c>
      <c r="M19" s="206">
        <f t="shared" si="16"/>
        <v>58709260.309999995</v>
      </c>
      <c r="N19" s="206">
        <f t="shared" si="16"/>
        <v>135043036</v>
      </c>
      <c r="O19" s="206">
        <f t="shared" si="16"/>
        <v>725956024.89999998</v>
      </c>
      <c r="P19" s="206">
        <f t="shared" si="16"/>
        <v>787493247.51999998</v>
      </c>
      <c r="Q19" s="206">
        <f>+SUM(Q20:Q21)</f>
        <v>6774197373.3500004</v>
      </c>
      <c r="R19" s="206">
        <f t="shared" si="3"/>
        <v>6472497796.6499996</v>
      </c>
      <c r="S19" s="206">
        <f t="shared" si="4"/>
        <v>2917702037.8359985</v>
      </c>
      <c r="T19" s="207">
        <f t="shared" si="5"/>
        <v>0.51138773002730764</v>
      </c>
      <c r="U19" s="208">
        <f t="shared" si="6"/>
        <v>0.69895456875372597</v>
      </c>
      <c r="V19" s="209">
        <f t="shared" si="11"/>
        <v>1.750812683483963</v>
      </c>
      <c r="W19" s="191"/>
      <c r="X19" s="210">
        <v>2462616743.7799997</v>
      </c>
      <c r="Y19" s="170"/>
      <c r="Z19" s="171">
        <f>+Q46/2</f>
        <v>74.277050564999996</v>
      </c>
    </row>
    <row r="20" spans="1:28" s="171" customFormat="1" ht="20.25" customHeight="1" x14ac:dyDescent="0.25">
      <c r="A20" s="211" t="s">
        <v>206</v>
      </c>
      <c r="B20" s="212">
        <v>2037675503</v>
      </c>
      <c r="C20" s="212">
        <v>1592231120</v>
      </c>
      <c r="D20" s="212">
        <v>1363932591</v>
      </c>
      <c r="E20" s="212">
        <v>69539058.060000002</v>
      </c>
      <c r="F20" s="212">
        <v>120329534.60000002</v>
      </c>
      <c r="G20" s="212">
        <v>297723654.83000016</v>
      </c>
      <c r="H20" s="212">
        <v>101623768.5</v>
      </c>
      <c r="I20" s="212">
        <v>33830480</v>
      </c>
      <c r="J20" s="212">
        <v>84522782.189999998</v>
      </c>
      <c r="K20" s="212">
        <v>209760316.39999998</v>
      </c>
      <c r="L20" s="212">
        <v>-44047129.960000038</v>
      </c>
      <c r="M20" s="212">
        <v>40146715.309999995</v>
      </c>
      <c r="N20" s="212">
        <v>32073876</v>
      </c>
      <c r="O20" s="212">
        <v>134200941.89999998</v>
      </c>
      <c r="P20" s="212">
        <v>-714811352.48000002</v>
      </c>
      <c r="Q20" s="212">
        <f>SUM(E20:P20)</f>
        <v>364892645.35000014</v>
      </c>
      <c r="R20" s="212">
        <f t="shared" si="3"/>
        <v>1672782857.6499999</v>
      </c>
      <c r="S20" s="212">
        <f t="shared" si="4"/>
        <v>999039945.64999986</v>
      </c>
      <c r="T20" s="213">
        <f t="shared" si="5"/>
        <v>0.17907299018552325</v>
      </c>
      <c r="U20" s="214">
        <f t="shared" si="6"/>
        <v>0.26752982351017091</v>
      </c>
      <c r="V20" s="215">
        <f t="shared" si="11"/>
        <v>-0.3705856537225769</v>
      </c>
      <c r="X20" s="216">
        <v>579733600.77999973</v>
      </c>
      <c r="Y20" s="170"/>
    </row>
    <row r="21" spans="1:28" s="171" customFormat="1" ht="20.25" customHeight="1" x14ac:dyDescent="0.25">
      <c r="A21" s="211" t="s">
        <v>207</v>
      </c>
      <c r="B21" s="212">
        <v>11209019667</v>
      </c>
      <c r="C21" s="212">
        <v>8803466820.1859989</v>
      </c>
      <c r="D21" s="212">
        <v>8327966820.1859989</v>
      </c>
      <c r="E21" s="212">
        <v>258890376</v>
      </c>
      <c r="F21" s="212">
        <v>591025824</v>
      </c>
      <c r="G21" s="212">
        <v>1279699134</v>
      </c>
      <c r="H21" s="212">
        <v>512612215</v>
      </c>
      <c r="I21" s="212">
        <v>216715434</v>
      </c>
      <c r="J21" s="212">
        <v>332686296</v>
      </c>
      <c r="K21" s="212">
        <v>232421398</v>
      </c>
      <c r="L21" s="212">
        <v>769662663</v>
      </c>
      <c r="M21" s="212">
        <v>18562545</v>
      </c>
      <c r="N21" s="212">
        <v>102969160</v>
      </c>
      <c r="O21" s="212">
        <v>591755083</v>
      </c>
      <c r="P21" s="212">
        <v>1502304600</v>
      </c>
      <c r="Q21" s="212">
        <f>SUM(E21:P21)</f>
        <v>6409304728</v>
      </c>
      <c r="R21" s="212">
        <f t="shared" si="3"/>
        <v>4799714939</v>
      </c>
      <c r="S21" s="212">
        <f t="shared" si="4"/>
        <v>1918662092.1859989</v>
      </c>
      <c r="T21" s="213">
        <f t="shared" si="5"/>
        <v>0.57179886541455205</v>
      </c>
      <c r="U21" s="214">
        <f t="shared" si="6"/>
        <v>0.76961218342808591</v>
      </c>
      <c r="V21" s="215">
        <f t="shared" si="11"/>
        <v>2.4039843374390442</v>
      </c>
      <c r="X21" s="216">
        <v>1882883143</v>
      </c>
      <c r="Y21" s="170"/>
    </row>
    <row r="22" spans="1:28" s="171" customFormat="1" ht="15.75" x14ac:dyDescent="0.25">
      <c r="A22" s="205" t="s">
        <v>208</v>
      </c>
      <c r="B22" s="206">
        <f t="shared" ref="B22:Q22" si="17">+SUM(B23:B24)</f>
        <v>3110515705</v>
      </c>
      <c r="C22" s="206">
        <f t="shared" ref="C22" si="18">+SUM(C23:C24)</f>
        <v>3606775294.7799997</v>
      </c>
      <c r="D22" s="206">
        <f t="shared" si="17"/>
        <v>3606775295</v>
      </c>
      <c r="E22" s="206">
        <f t="shared" si="17"/>
        <v>100498842</v>
      </c>
      <c r="F22" s="206">
        <f t="shared" si="17"/>
        <v>91430078.539999992</v>
      </c>
      <c r="G22" s="206">
        <f t="shared" ref="G22:P22" si="19">+SUM(G23:G24)</f>
        <v>219928389.20999998</v>
      </c>
      <c r="H22" s="206">
        <f t="shared" si="19"/>
        <v>125599096.06</v>
      </c>
      <c r="I22" s="206">
        <f t="shared" si="19"/>
        <v>158598676.89000002</v>
      </c>
      <c r="J22" s="206">
        <f t="shared" si="19"/>
        <v>132710661.65000001</v>
      </c>
      <c r="K22" s="206">
        <f t="shared" si="19"/>
        <v>861195.29</v>
      </c>
      <c r="L22" s="206">
        <f t="shared" si="19"/>
        <v>283016773.39999998</v>
      </c>
      <c r="M22" s="206">
        <f t="shared" si="19"/>
        <v>412189258.57999998</v>
      </c>
      <c r="N22" s="206">
        <f t="shared" si="19"/>
        <v>20782049.139999997</v>
      </c>
      <c r="O22" s="206">
        <f t="shared" si="19"/>
        <v>573395030.63999999</v>
      </c>
      <c r="P22" s="206">
        <f t="shared" si="19"/>
        <v>116932805.31999999</v>
      </c>
      <c r="Q22" s="206">
        <f t="shared" si="17"/>
        <v>2235942856.7200003</v>
      </c>
      <c r="R22" s="206">
        <f t="shared" si="3"/>
        <v>874572848.27999973</v>
      </c>
      <c r="S22" s="206">
        <f t="shared" si="4"/>
        <v>1370832438.2799997</v>
      </c>
      <c r="T22" s="207">
        <f t="shared" si="5"/>
        <v>0.71883348896963706</v>
      </c>
      <c r="U22" s="208">
        <f t="shared" si="6"/>
        <v>0.61992851615115663</v>
      </c>
      <c r="V22" s="209">
        <f t="shared" si="11"/>
        <v>3.2497515697238564</v>
      </c>
      <c r="W22" s="191"/>
      <c r="X22" s="210">
        <v>526134956.37</v>
      </c>
      <c r="Y22" s="170"/>
    </row>
    <row r="23" spans="1:28" s="171" customFormat="1" ht="19.5" customHeight="1" x14ac:dyDescent="0.25">
      <c r="A23" s="211" t="s">
        <v>209</v>
      </c>
      <c r="B23" s="212">
        <v>1541423820</v>
      </c>
      <c r="C23" s="212">
        <v>1982838866.6800001</v>
      </c>
      <c r="D23" s="212">
        <v>1982838867</v>
      </c>
      <c r="E23" s="212">
        <v>0</v>
      </c>
      <c r="F23" s="212">
        <v>9918749.9900000002</v>
      </c>
      <c r="G23" s="212">
        <v>65204812.829999998</v>
      </c>
      <c r="H23" s="212">
        <v>12574057.59</v>
      </c>
      <c r="I23" s="212">
        <v>0</v>
      </c>
      <c r="J23" s="212">
        <v>19603660.52</v>
      </c>
      <c r="K23" s="212">
        <v>861195.29</v>
      </c>
      <c r="L23" s="212">
        <v>658614.34</v>
      </c>
      <c r="M23" s="212">
        <v>219148176.59999999</v>
      </c>
      <c r="N23" s="212">
        <v>1055558.3999999999</v>
      </c>
      <c r="O23" s="212">
        <v>156742559.84999999</v>
      </c>
      <c r="P23" s="212">
        <v>79725656.879999995</v>
      </c>
      <c r="Q23" s="212">
        <f>SUM(E23:P23)</f>
        <v>565493042.28999996</v>
      </c>
      <c r="R23" s="212">
        <f t="shared" si="3"/>
        <v>975930777.71000004</v>
      </c>
      <c r="S23" s="212">
        <f t="shared" si="4"/>
        <v>1417345824.71</v>
      </c>
      <c r="T23" s="213">
        <f t="shared" si="5"/>
        <v>0.36686408692581379</v>
      </c>
      <c r="U23" s="214">
        <f t="shared" si="6"/>
        <v>0.28519364417421417</v>
      </c>
      <c r="V23" s="215">
        <f t="shared" si="11"/>
        <v>3.3329667523523998</v>
      </c>
      <c r="X23" s="216">
        <v>130509434.90000001</v>
      </c>
      <c r="Y23" s="170"/>
    </row>
    <row r="24" spans="1:28" s="171" customFormat="1" ht="16.5" customHeight="1" x14ac:dyDescent="0.25">
      <c r="A24" s="211" t="s">
        <v>210</v>
      </c>
      <c r="B24" s="212">
        <v>1569091885</v>
      </c>
      <c r="C24" s="212">
        <v>1623936428.0999999</v>
      </c>
      <c r="D24" s="212">
        <v>1623936428</v>
      </c>
      <c r="E24" s="212">
        <v>100498842</v>
      </c>
      <c r="F24" s="212">
        <v>81511328.549999997</v>
      </c>
      <c r="G24" s="212">
        <v>154723576.38</v>
      </c>
      <c r="H24" s="212">
        <v>113025038.47</v>
      </c>
      <c r="I24" s="212">
        <v>158598676.89000002</v>
      </c>
      <c r="J24" s="212">
        <v>113107001.13000001</v>
      </c>
      <c r="K24" s="212">
        <v>0</v>
      </c>
      <c r="L24" s="212">
        <v>282358159.06</v>
      </c>
      <c r="M24" s="212">
        <v>193041081.97999999</v>
      </c>
      <c r="N24" s="212">
        <v>19726490.739999998</v>
      </c>
      <c r="O24" s="212">
        <v>416652470.79000002</v>
      </c>
      <c r="P24" s="212">
        <v>37207148.439999998</v>
      </c>
      <c r="Q24" s="212">
        <f>SUM(E24:P24)</f>
        <v>1670449814.4300001</v>
      </c>
      <c r="R24" s="212">
        <f t="shared" si="3"/>
        <v>-101357929.43000007</v>
      </c>
      <c r="S24" s="212">
        <f t="shared" si="4"/>
        <v>-46513386.430000067</v>
      </c>
      <c r="T24" s="213">
        <f t="shared" si="5"/>
        <v>1.0645965544777514</v>
      </c>
      <c r="U24" s="214">
        <f t="shared" si="6"/>
        <v>1.0286423690164306</v>
      </c>
      <c r="V24" s="215">
        <f t="shared" si="11"/>
        <v>3.222300442659054</v>
      </c>
      <c r="X24" s="216">
        <v>395625521.46999997</v>
      </c>
      <c r="Y24" s="170"/>
    </row>
    <row r="25" spans="1:28" s="171" customFormat="1" ht="15.75" x14ac:dyDescent="0.25">
      <c r="A25" s="217" t="s">
        <v>211</v>
      </c>
      <c r="B25" s="218">
        <f t="shared" ref="B25:Q25" si="20">+B26+B32+B35</f>
        <v>61700508542</v>
      </c>
      <c r="C25" s="218">
        <f t="shared" si="20"/>
        <v>86181040727.434998</v>
      </c>
      <c r="D25" s="218">
        <f t="shared" si="20"/>
        <v>81891434821.389999</v>
      </c>
      <c r="E25" s="218">
        <f t="shared" si="20"/>
        <v>1314519287.21</v>
      </c>
      <c r="F25" s="218">
        <f t="shared" si="20"/>
        <v>1416781738.6300001</v>
      </c>
      <c r="G25" s="218">
        <f t="shared" si="20"/>
        <v>2500880771.4399996</v>
      </c>
      <c r="H25" s="218">
        <f t="shared" si="20"/>
        <v>1377948547.9300001</v>
      </c>
      <c r="I25" s="218">
        <f t="shared" si="20"/>
        <v>846700286.92000008</v>
      </c>
      <c r="J25" s="218">
        <f t="shared" si="20"/>
        <v>598065674.48000002</v>
      </c>
      <c r="K25" s="218">
        <f t="shared" si="20"/>
        <v>298269074.59999996</v>
      </c>
      <c r="L25" s="218">
        <f t="shared" si="20"/>
        <v>1806317152.8200002</v>
      </c>
      <c r="M25" s="218">
        <f t="shared" si="20"/>
        <v>1580902252.05</v>
      </c>
      <c r="N25" s="218">
        <f t="shared" si="20"/>
        <v>139467632.25</v>
      </c>
      <c r="O25" s="218">
        <f t="shared" si="20"/>
        <v>2692005102.4299998</v>
      </c>
      <c r="P25" s="218">
        <f t="shared" si="20"/>
        <v>575239432.35000002</v>
      </c>
      <c r="Q25" s="218">
        <f t="shared" si="20"/>
        <v>15147096953.110001</v>
      </c>
      <c r="R25" s="218">
        <f t="shared" si="3"/>
        <v>46553411588.889999</v>
      </c>
      <c r="S25" s="218">
        <f t="shared" si="4"/>
        <v>66744337868.279999</v>
      </c>
      <c r="T25" s="219">
        <f t="shared" si="5"/>
        <v>0.2454938753511125</v>
      </c>
      <c r="U25" s="220">
        <f t="shared" si="6"/>
        <v>0.18496558261736046</v>
      </c>
      <c r="V25" s="221">
        <f t="shared" si="11"/>
        <v>1.1818085004352779</v>
      </c>
      <c r="W25" s="191"/>
      <c r="X25" s="222">
        <v>6942450242.5799999</v>
      </c>
      <c r="Y25" s="170"/>
      <c r="AA25" s="191"/>
    </row>
    <row r="26" spans="1:28" s="171" customFormat="1" ht="15.75" x14ac:dyDescent="0.25">
      <c r="A26" s="205" t="s">
        <v>212</v>
      </c>
      <c r="B26" s="206">
        <f t="shared" ref="B26:Q26" si="21">+SUM(B27:B31)</f>
        <v>49334650000</v>
      </c>
      <c r="C26" s="206">
        <f t="shared" ref="C26" si="22">+SUM(C27:C31)</f>
        <v>63177499999.544998</v>
      </c>
      <c r="D26" s="206">
        <f t="shared" si="21"/>
        <v>62324999999.5</v>
      </c>
      <c r="E26" s="206">
        <f t="shared" si="21"/>
        <v>364424020.81</v>
      </c>
      <c r="F26" s="206">
        <f t="shared" si="21"/>
        <v>324636018.69</v>
      </c>
      <c r="G26" s="206">
        <f t="shared" ref="G26:P26" si="23">+SUM(G27:G31)</f>
        <v>945273601.76999986</v>
      </c>
      <c r="H26" s="206">
        <f t="shared" si="23"/>
        <v>360446413.10000002</v>
      </c>
      <c r="I26" s="206">
        <f t="shared" si="23"/>
        <v>96593732.960000008</v>
      </c>
      <c r="J26" s="206">
        <f t="shared" si="23"/>
        <v>11499762.129999999</v>
      </c>
      <c r="K26" s="206">
        <f t="shared" si="23"/>
        <v>278797067.50999999</v>
      </c>
      <c r="L26" s="206">
        <f t="shared" si="23"/>
        <v>582034485.20000005</v>
      </c>
      <c r="M26" s="206">
        <f t="shared" si="23"/>
        <v>37779846.629999995</v>
      </c>
      <c r="N26" s="206">
        <f t="shared" si="23"/>
        <v>53746539.549999997</v>
      </c>
      <c r="O26" s="206">
        <f t="shared" si="23"/>
        <v>134540685.32999998</v>
      </c>
      <c r="P26" s="206">
        <f t="shared" si="23"/>
        <v>0</v>
      </c>
      <c r="Q26" s="206">
        <f t="shared" si="21"/>
        <v>3189772173.6799998</v>
      </c>
      <c r="R26" s="206">
        <f t="shared" si="3"/>
        <v>46144877826.32</v>
      </c>
      <c r="S26" s="206">
        <f t="shared" si="4"/>
        <v>59135227825.82</v>
      </c>
      <c r="T26" s="207">
        <f t="shared" si="5"/>
        <v>6.4655818449710287E-2</v>
      </c>
      <c r="U26" s="208">
        <f t="shared" si="6"/>
        <v>5.1179657821188766E-2</v>
      </c>
      <c r="V26" s="209">
        <f t="shared" si="11"/>
        <v>2.9770047423331114E-2</v>
      </c>
      <c r="W26" s="191"/>
      <c r="X26" s="210">
        <v>3097557733.0699997</v>
      </c>
      <c r="Y26" s="170"/>
    </row>
    <row r="27" spans="1:28" s="171" customFormat="1" ht="15.75" x14ac:dyDescent="0.25">
      <c r="A27" s="223" t="s">
        <v>213</v>
      </c>
      <c r="B27" s="224">
        <v>14033950000</v>
      </c>
      <c r="C27" s="224">
        <v>20614500000</v>
      </c>
      <c r="D27" s="224">
        <v>17300000000</v>
      </c>
      <c r="E27" s="224">
        <v>141735000</v>
      </c>
      <c r="F27" s="224">
        <v>113850442</v>
      </c>
      <c r="G27" s="224">
        <v>706380584.5999999</v>
      </c>
      <c r="H27" s="224">
        <v>120988988.29000001</v>
      </c>
      <c r="I27" s="224">
        <v>6298801.7199999997</v>
      </c>
      <c r="J27" s="224">
        <v>5748700</v>
      </c>
      <c r="K27" s="224">
        <v>144363100.84</v>
      </c>
      <c r="L27" s="224">
        <v>392481449.20000005</v>
      </c>
      <c r="M27" s="224">
        <v>37779846.629999995</v>
      </c>
      <c r="N27" s="224">
        <v>53746539.549999997</v>
      </c>
      <c r="O27" s="224">
        <v>134540685.32999998</v>
      </c>
      <c r="P27" s="224"/>
      <c r="Q27" s="212">
        <f>SUM(E27:P27)</f>
        <v>1857914138.1599996</v>
      </c>
      <c r="R27" s="212">
        <f t="shared" si="3"/>
        <v>12176035861.84</v>
      </c>
      <c r="S27" s="212">
        <f t="shared" si="4"/>
        <v>15442085861.84</v>
      </c>
      <c r="T27" s="213">
        <f t="shared" si="5"/>
        <v>0.13238711397432651</v>
      </c>
      <c r="U27" s="214">
        <f t="shared" si="6"/>
        <v>0.10739388081849709</v>
      </c>
      <c r="V27" s="225">
        <f t="shared" si="11"/>
        <v>-1.411454823153846E-2</v>
      </c>
      <c r="X27" s="226">
        <v>1884513190.48</v>
      </c>
      <c r="Y27" s="170"/>
    </row>
    <row r="28" spans="1:28" s="171" customFormat="1" ht="15.75" x14ac:dyDescent="0.25">
      <c r="A28" s="223" t="s">
        <v>214</v>
      </c>
      <c r="B28" s="224">
        <v>5103560854</v>
      </c>
      <c r="C28" s="224">
        <v>3443737716.8450003</v>
      </c>
      <c r="D28" s="224">
        <v>3766435001</v>
      </c>
      <c r="E28" s="224">
        <v>195129020.81</v>
      </c>
      <c r="F28" s="224">
        <v>9811576.6900000013</v>
      </c>
      <c r="G28" s="224">
        <v>21755017.169999998</v>
      </c>
      <c r="H28" s="224">
        <v>164602424.81</v>
      </c>
      <c r="I28" s="224">
        <v>5791931.2400000002</v>
      </c>
      <c r="J28" s="224">
        <v>5751062.1299999999</v>
      </c>
      <c r="K28" s="224">
        <v>0</v>
      </c>
      <c r="L28" s="224">
        <v>0</v>
      </c>
      <c r="M28" s="224">
        <v>0</v>
      </c>
      <c r="N28" s="224">
        <v>0</v>
      </c>
      <c r="O28" s="224">
        <v>0</v>
      </c>
      <c r="P28" s="224">
        <v>0</v>
      </c>
      <c r="Q28" s="212">
        <f t="shared" ref="Q28:Q37" si="24">SUM(E28:P28)</f>
        <v>402841032.85000002</v>
      </c>
      <c r="R28" s="212">
        <f t="shared" si="3"/>
        <v>4700719821.1499996</v>
      </c>
      <c r="S28" s="212">
        <f t="shared" si="4"/>
        <v>3363593968.1500001</v>
      </c>
      <c r="T28" s="213">
        <f t="shared" si="5"/>
        <v>7.8933326039262702E-2</v>
      </c>
      <c r="U28" s="214">
        <f t="shared" si="6"/>
        <v>0.10695552498398207</v>
      </c>
      <c r="V28" s="227">
        <f t="shared" si="11"/>
        <v>-0.38912503335422177</v>
      </c>
      <c r="X28" s="226">
        <v>659449240.59000003</v>
      </c>
      <c r="Y28" s="170">
        <f>+Q27-'[47]PROGR&amp;PROJETS_RECT_17-18_PT_VOT'!$AC$6</f>
        <v>1192979293.3799996</v>
      </c>
    </row>
    <row r="29" spans="1:28" s="171" customFormat="1" ht="15.75" x14ac:dyDescent="0.25">
      <c r="A29" s="223" t="s">
        <v>215</v>
      </c>
      <c r="B29" s="224">
        <v>3433746969</v>
      </c>
      <c r="C29" s="224">
        <v>3014817639.999999</v>
      </c>
      <c r="D29" s="224">
        <v>3740999999</v>
      </c>
      <c r="E29" s="224">
        <v>27560000</v>
      </c>
      <c r="F29" s="224">
        <v>200974000</v>
      </c>
      <c r="G29" s="224">
        <v>217138000</v>
      </c>
      <c r="H29" s="224">
        <v>74855000</v>
      </c>
      <c r="I29" s="224">
        <v>84503000.000000015</v>
      </c>
      <c r="J29" s="224">
        <v>0</v>
      </c>
      <c r="K29" s="224">
        <v>134433966.66999999</v>
      </c>
      <c r="L29" s="224">
        <v>189553036</v>
      </c>
      <c r="M29" s="224">
        <v>0</v>
      </c>
      <c r="N29" s="224">
        <v>0</v>
      </c>
      <c r="O29" s="224">
        <v>0</v>
      </c>
      <c r="P29" s="224">
        <v>0</v>
      </c>
      <c r="Q29" s="212">
        <f t="shared" si="24"/>
        <v>929017002.66999996</v>
      </c>
      <c r="R29" s="212">
        <f t="shared" si="3"/>
        <v>2504729966.3299999</v>
      </c>
      <c r="S29" s="212">
        <f t="shared" si="4"/>
        <v>2811982996.3299999</v>
      </c>
      <c r="T29" s="213">
        <f t="shared" si="5"/>
        <v>0.27055488102565545</v>
      </c>
      <c r="U29" s="214">
        <f t="shared" si="6"/>
        <v>0.24833386872984065</v>
      </c>
      <c r="V29" s="228"/>
      <c r="X29" s="226">
        <v>553595302</v>
      </c>
      <c r="Y29" s="170"/>
    </row>
    <row r="30" spans="1:28" s="171" customFormat="1" ht="15.75" x14ac:dyDescent="0.25">
      <c r="A30" s="223" t="s">
        <v>216</v>
      </c>
      <c r="B30" s="224">
        <v>21952216136</v>
      </c>
      <c r="C30" s="224">
        <v>24549371371.699997</v>
      </c>
      <c r="D30" s="224">
        <v>25886533314.5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24">
        <v>0</v>
      </c>
      <c r="L30" s="224">
        <v>0</v>
      </c>
      <c r="M30" s="224">
        <v>0</v>
      </c>
      <c r="N30" s="224">
        <v>0</v>
      </c>
      <c r="O30" s="224">
        <v>0</v>
      </c>
      <c r="P30" s="224">
        <v>0</v>
      </c>
      <c r="Q30" s="212">
        <f t="shared" si="24"/>
        <v>0</v>
      </c>
      <c r="R30" s="212">
        <f t="shared" si="3"/>
        <v>21952216136</v>
      </c>
      <c r="S30" s="212">
        <f t="shared" si="4"/>
        <v>25886533314.5</v>
      </c>
      <c r="T30" s="213">
        <f t="shared" si="5"/>
        <v>0</v>
      </c>
      <c r="U30" s="214">
        <f t="shared" si="6"/>
        <v>0</v>
      </c>
      <c r="V30" s="229"/>
      <c r="X30" s="226">
        <v>0</v>
      </c>
      <c r="Y30" s="170"/>
      <c r="AB30" s="192"/>
    </row>
    <row r="31" spans="1:28" s="171" customFormat="1" ht="15.75" x14ac:dyDescent="0.25">
      <c r="A31" s="223" t="s">
        <v>217</v>
      </c>
      <c r="B31" s="224">
        <v>4811176041</v>
      </c>
      <c r="C31" s="224">
        <v>11555073271</v>
      </c>
      <c r="D31" s="224">
        <v>11631031685</v>
      </c>
      <c r="E31" s="224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0</v>
      </c>
      <c r="Q31" s="212">
        <f t="shared" si="24"/>
        <v>0</v>
      </c>
      <c r="R31" s="212">
        <f t="shared" si="3"/>
        <v>4811176041</v>
      </c>
      <c r="S31" s="212">
        <f t="shared" si="4"/>
        <v>11631031685</v>
      </c>
      <c r="T31" s="213">
        <f t="shared" si="5"/>
        <v>0</v>
      </c>
      <c r="U31" s="214">
        <f t="shared" si="6"/>
        <v>0</v>
      </c>
      <c r="V31" s="230"/>
      <c r="X31" s="226">
        <v>0</v>
      </c>
      <c r="Y31" s="170"/>
    </row>
    <row r="32" spans="1:28" s="171" customFormat="1" ht="15.75" x14ac:dyDescent="0.25">
      <c r="A32" s="205" t="s">
        <v>218</v>
      </c>
      <c r="B32" s="206">
        <f>+SUM(B33:B34)</f>
        <v>1076341624</v>
      </c>
      <c r="C32" s="206">
        <f t="shared" ref="C32:Q32" si="25">+SUM(C33:C34)</f>
        <v>1771196256</v>
      </c>
      <c r="D32" s="206">
        <f t="shared" si="25"/>
        <v>1601764124</v>
      </c>
      <c r="E32" s="206">
        <f t="shared" si="25"/>
        <v>72779195.710000008</v>
      </c>
      <c r="F32" s="206">
        <f t="shared" si="25"/>
        <v>94093017.340000004</v>
      </c>
      <c r="G32" s="206">
        <f t="shared" ref="G32:P32" si="26">+SUM(G33:G34)</f>
        <v>130068721.02</v>
      </c>
      <c r="H32" s="206">
        <f t="shared" si="26"/>
        <v>102971668.38000001</v>
      </c>
      <c r="I32" s="206">
        <f t="shared" si="26"/>
        <v>15397559.5</v>
      </c>
      <c r="J32" s="206">
        <f t="shared" si="26"/>
        <v>25147544.59</v>
      </c>
      <c r="K32" s="206">
        <f t="shared" si="26"/>
        <v>9342457.3399999999</v>
      </c>
      <c r="L32" s="206">
        <f t="shared" si="26"/>
        <v>44160240.760000005</v>
      </c>
      <c r="M32" s="206">
        <f t="shared" si="26"/>
        <v>13670894.660000002</v>
      </c>
      <c r="N32" s="206">
        <f t="shared" si="26"/>
        <v>15462244.109999999</v>
      </c>
      <c r="O32" s="206">
        <f t="shared" si="26"/>
        <v>61690230.119999997</v>
      </c>
      <c r="P32" s="206">
        <f t="shared" si="26"/>
        <v>230550537.73000002</v>
      </c>
      <c r="Q32" s="206">
        <f t="shared" si="25"/>
        <v>815334311.25999999</v>
      </c>
      <c r="R32" s="206">
        <f t="shared" si="3"/>
        <v>261007312.74000001</v>
      </c>
      <c r="S32" s="206">
        <f t="shared" si="4"/>
        <v>786429812.74000001</v>
      </c>
      <c r="T32" s="207">
        <f t="shared" si="5"/>
        <v>0.75750513877738879</v>
      </c>
      <c r="U32" s="208">
        <f t="shared" si="6"/>
        <v>0.50902270755316281</v>
      </c>
      <c r="V32" s="209">
        <f>Q32/X32-1</f>
        <v>1.867470303839835</v>
      </c>
      <c r="W32" s="191"/>
      <c r="X32" s="210">
        <v>284339234.54000002</v>
      </c>
      <c r="Y32" s="170"/>
    </row>
    <row r="33" spans="1:28" s="171" customFormat="1" ht="15.75" x14ac:dyDescent="0.25">
      <c r="A33" s="231" t="s">
        <v>203</v>
      </c>
      <c r="B33" s="232">
        <v>1041341624</v>
      </c>
      <c r="C33" s="232">
        <v>1721196256</v>
      </c>
      <c r="D33" s="232">
        <v>1566764124</v>
      </c>
      <c r="E33" s="232">
        <v>72779195.710000008</v>
      </c>
      <c r="F33" s="232">
        <v>94093017.340000004</v>
      </c>
      <c r="G33" s="232">
        <v>130068721.02</v>
      </c>
      <c r="H33" s="232">
        <v>102971668.38000001</v>
      </c>
      <c r="I33" s="232">
        <v>15397559.5</v>
      </c>
      <c r="J33" s="232">
        <v>25147544.59</v>
      </c>
      <c r="K33" s="232">
        <v>9342457.3399999999</v>
      </c>
      <c r="L33" s="232">
        <v>28892240.760000005</v>
      </c>
      <c r="M33" s="232">
        <v>13670894.660000002</v>
      </c>
      <c r="N33" s="232">
        <v>15462244.109999999</v>
      </c>
      <c r="O33" s="232">
        <v>61690230.119999997</v>
      </c>
      <c r="P33" s="232">
        <v>230550537.73000002</v>
      </c>
      <c r="Q33" s="212">
        <f>SUM(E33:P33)</f>
        <v>800066311.25999999</v>
      </c>
      <c r="R33" s="212">
        <f t="shared" si="3"/>
        <v>241275312.74000001</v>
      </c>
      <c r="S33" s="212">
        <f t="shared" si="4"/>
        <v>766697812.74000001</v>
      </c>
      <c r="T33" s="213">
        <f t="shared" si="5"/>
        <v>0.76830340094040073</v>
      </c>
      <c r="U33" s="214">
        <f t="shared" si="6"/>
        <v>0.51064885837276164</v>
      </c>
      <c r="V33" s="233">
        <f>Q33/X33-1</f>
        <v>1.954204183727799</v>
      </c>
      <c r="X33" s="234">
        <v>270822956.54000002</v>
      </c>
      <c r="Y33" s="170"/>
    </row>
    <row r="34" spans="1:28" s="171" customFormat="1" ht="15.75" x14ac:dyDescent="0.25">
      <c r="A34" s="231" t="s">
        <v>204</v>
      </c>
      <c r="B34" s="232">
        <v>35000000</v>
      </c>
      <c r="C34" s="232">
        <v>50000000</v>
      </c>
      <c r="D34" s="232">
        <v>35000000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15268000</v>
      </c>
      <c r="M34" s="232">
        <v>0</v>
      </c>
      <c r="N34" s="232">
        <v>0</v>
      </c>
      <c r="O34" s="232">
        <v>0</v>
      </c>
      <c r="P34" s="232">
        <v>0</v>
      </c>
      <c r="Q34" s="212">
        <f t="shared" si="24"/>
        <v>15268000</v>
      </c>
      <c r="R34" s="212">
        <f t="shared" si="3"/>
        <v>19732000</v>
      </c>
      <c r="S34" s="212">
        <f t="shared" si="4"/>
        <v>19732000</v>
      </c>
      <c r="T34" s="213">
        <f t="shared" si="5"/>
        <v>0.43622857142857141</v>
      </c>
      <c r="U34" s="214">
        <f t="shared" si="6"/>
        <v>0.43622857142857141</v>
      </c>
      <c r="V34" s="228"/>
      <c r="X34" s="234">
        <v>13516278</v>
      </c>
      <c r="Y34" s="170"/>
    </row>
    <row r="35" spans="1:28" s="171" customFormat="1" ht="15.75" x14ac:dyDescent="0.25">
      <c r="A35" s="205" t="s">
        <v>219</v>
      </c>
      <c r="B35" s="206">
        <f t="shared" ref="B35:Q35" si="27">+SUM(B36:B37)</f>
        <v>11289516918</v>
      </c>
      <c r="C35" s="206">
        <f t="shared" ref="C35" si="28">+SUM(C36:C37)</f>
        <v>21232344471.889999</v>
      </c>
      <c r="D35" s="206">
        <f t="shared" si="27"/>
        <v>17964670697.889999</v>
      </c>
      <c r="E35" s="206">
        <f t="shared" si="27"/>
        <v>877316070.69000006</v>
      </c>
      <c r="F35" s="206">
        <f t="shared" si="27"/>
        <v>998052702.60000014</v>
      </c>
      <c r="G35" s="206">
        <f t="shared" ref="G35:P35" si="29">+SUM(G36:G37)</f>
        <v>1425538448.6499999</v>
      </c>
      <c r="H35" s="206">
        <f t="shared" si="29"/>
        <v>914530466.45000005</v>
      </c>
      <c r="I35" s="206">
        <f t="shared" si="29"/>
        <v>734708994.46000004</v>
      </c>
      <c r="J35" s="206">
        <f t="shared" si="29"/>
        <v>561418367.75999999</v>
      </c>
      <c r="K35" s="206">
        <f t="shared" si="29"/>
        <v>10129549.75</v>
      </c>
      <c r="L35" s="206">
        <f t="shared" si="29"/>
        <v>1180122426.8600001</v>
      </c>
      <c r="M35" s="206">
        <f t="shared" si="29"/>
        <v>1529451510.76</v>
      </c>
      <c r="N35" s="206">
        <f t="shared" si="29"/>
        <v>70258848.589999989</v>
      </c>
      <c r="O35" s="206">
        <f t="shared" si="29"/>
        <v>2495774186.98</v>
      </c>
      <c r="P35" s="206">
        <f t="shared" si="29"/>
        <v>344688894.62</v>
      </c>
      <c r="Q35" s="206">
        <f t="shared" si="27"/>
        <v>11141990468.170002</v>
      </c>
      <c r="R35" s="206">
        <f t="shared" si="3"/>
        <v>147526449.82999802</v>
      </c>
      <c r="S35" s="206">
        <f t="shared" si="4"/>
        <v>6822680229.7199974</v>
      </c>
      <c r="T35" s="207">
        <f t="shared" si="5"/>
        <v>0.98693243910244011</v>
      </c>
      <c r="U35" s="208">
        <f t="shared" si="6"/>
        <v>0.62021679414800845</v>
      </c>
      <c r="V35" s="209">
        <f>Q35/X35-1</f>
        <v>2.129286267529273</v>
      </c>
      <c r="W35" s="191"/>
      <c r="X35" s="210">
        <v>3560553274.9700003</v>
      </c>
      <c r="Y35" s="170"/>
    </row>
    <row r="36" spans="1:28" s="171" customFormat="1" ht="15.75" x14ac:dyDescent="0.25">
      <c r="A36" s="231" t="s">
        <v>220</v>
      </c>
      <c r="B36" s="232">
        <v>5549483333</v>
      </c>
      <c r="C36" s="232">
        <v>15024757611.73</v>
      </c>
      <c r="D36" s="232">
        <v>11757083837.73</v>
      </c>
      <c r="E36" s="232">
        <v>473805808.91000003</v>
      </c>
      <c r="F36" s="232">
        <v>633730697.94000006</v>
      </c>
      <c r="G36" s="232">
        <v>914232273.31999993</v>
      </c>
      <c r="H36" s="232">
        <v>406618591.80000001</v>
      </c>
      <c r="I36" s="232">
        <v>9702000</v>
      </c>
      <c r="J36" s="232">
        <v>10128546.9</v>
      </c>
      <c r="K36" s="232">
        <v>10129549.75</v>
      </c>
      <c r="L36" s="232">
        <v>5191767.16</v>
      </c>
      <c r="M36" s="232">
        <v>828993684.91999996</v>
      </c>
      <c r="N36" s="232">
        <v>1980204.5999999996</v>
      </c>
      <c r="O36" s="232">
        <v>549166666.72000003</v>
      </c>
      <c r="P36" s="232">
        <v>282284545.31999999</v>
      </c>
      <c r="Q36" s="212">
        <f t="shared" si="24"/>
        <v>4125964337.3400006</v>
      </c>
      <c r="R36" s="212">
        <f t="shared" si="3"/>
        <v>1423518995.6599994</v>
      </c>
      <c r="S36" s="212">
        <f t="shared" si="4"/>
        <v>7631119500.3899994</v>
      </c>
      <c r="T36" s="213">
        <f t="shared" si="5"/>
        <v>0.74348621119464509</v>
      </c>
      <c r="U36" s="214">
        <f t="shared" si="6"/>
        <v>0.35093432982924289</v>
      </c>
      <c r="V36" s="233">
        <f>Q36/X36-1</f>
        <v>0.89135746384199455</v>
      </c>
      <c r="X36" s="234">
        <v>2181483096.7799997</v>
      </c>
      <c r="Y36" s="170"/>
      <c r="AB36" s="192"/>
    </row>
    <row r="37" spans="1:28" s="171" customFormat="1" ht="15.75" x14ac:dyDescent="0.25">
      <c r="A37" s="231" t="s">
        <v>221</v>
      </c>
      <c r="B37" s="232">
        <v>5740033585</v>
      </c>
      <c r="C37" s="235">
        <v>6207586860.1599998</v>
      </c>
      <c r="D37" s="235">
        <v>6207586860.1599998</v>
      </c>
      <c r="E37" s="236">
        <v>403510261.77999997</v>
      </c>
      <c r="F37" s="236">
        <v>364322004.66000003</v>
      </c>
      <c r="G37" s="236">
        <v>511306175.32999998</v>
      </c>
      <c r="H37" s="236">
        <v>507911874.64999998</v>
      </c>
      <c r="I37" s="236">
        <v>725006994.46000004</v>
      </c>
      <c r="J37" s="236">
        <v>551289820.86000001</v>
      </c>
      <c r="K37" s="236">
        <v>0</v>
      </c>
      <c r="L37" s="236">
        <v>1174930659.7</v>
      </c>
      <c r="M37" s="236">
        <v>700457825.84000003</v>
      </c>
      <c r="N37" s="236">
        <v>68278643.989999995</v>
      </c>
      <c r="O37" s="236">
        <v>1946607520.26</v>
      </c>
      <c r="P37" s="236">
        <v>62404349.299999997</v>
      </c>
      <c r="Q37" s="212">
        <f t="shared" si="24"/>
        <v>7016026130.8300009</v>
      </c>
      <c r="R37" s="212">
        <f t="shared" si="3"/>
        <v>-1275992545.8300009</v>
      </c>
      <c r="S37" s="212">
        <f t="shared" si="4"/>
        <v>-808439270.67000103</v>
      </c>
      <c r="T37" s="213">
        <f t="shared" si="5"/>
        <v>1.2222970522619339</v>
      </c>
      <c r="U37" s="214">
        <f t="shared" si="6"/>
        <v>1.130234065004958</v>
      </c>
      <c r="V37" s="237">
        <f>Q37/X37-1</f>
        <v>4.0875047853172957</v>
      </c>
      <c r="X37" s="234">
        <v>1379070178.1900001</v>
      </c>
      <c r="Y37" s="170"/>
    </row>
    <row r="38" spans="1:28" s="171" customFormat="1" ht="16.5" thickBot="1" x14ac:dyDescent="0.3">
      <c r="A38" s="217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>
        <f t="shared" si="3"/>
        <v>0</v>
      </c>
      <c r="S38" s="218">
        <f t="shared" si="4"/>
        <v>0</v>
      </c>
      <c r="T38" s="219"/>
      <c r="U38" s="220"/>
      <c r="V38" s="221"/>
      <c r="X38" s="222">
        <v>0</v>
      </c>
      <c r="Y38" s="170"/>
    </row>
    <row r="39" spans="1:28" s="171" customFormat="1" ht="17.25" thickTop="1" thickBot="1" x14ac:dyDescent="0.3">
      <c r="A39" s="193" t="s">
        <v>222</v>
      </c>
      <c r="B39" s="194">
        <f>+B2-B13</f>
        <v>0</v>
      </c>
      <c r="C39" s="194">
        <f t="shared" ref="C39:P39" si="30">+C2-C13</f>
        <v>1.3443603515625</v>
      </c>
      <c r="D39" s="194">
        <f t="shared" si="30"/>
        <v>0.70086669921875</v>
      </c>
      <c r="E39" s="194">
        <f t="shared" si="30"/>
        <v>2516477981.2000008</v>
      </c>
      <c r="F39" s="194">
        <f t="shared" si="30"/>
        <v>-3872311294.0299978</v>
      </c>
      <c r="G39" s="194">
        <f t="shared" si="30"/>
        <v>-5608247571.159997</v>
      </c>
      <c r="H39" s="194">
        <f t="shared" si="30"/>
        <v>100920097.30000019</v>
      </c>
      <c r="I39" s="194">
        <f t="shared" si="30"/>
        <v>1258904763.4600015</v>
      </c>
      <c r="J39" s="194">
        <f t="shared" si="30"/>
        <v>1449568341.3500013</v>
      </c>
      <c r="K39" s="194">
        <f t="shared" si="30"/>
        <v>1606994994.0900011</v>
      </c>
      <c r="L39" s="194">
        <f t="shared" si="30"/>
        <v>-1834547607.2799997</v>
      </c>
      <c r="M39" s="194">
        <f t="shared" si="30"/>
        <v>1191951756.499999</v>
      </c>
      <c r="N39" s="194">
        <f t="shared" si="30"/>
        <v>1159055952.8400011</v>
      </c>
      <c r="O39" s="194">
        <f t="shared" si="30"/>
        <v>-3169121774.8400011</v>
      </c>
      <c r="P39" s="194">
        <f t="shared" si="30"/>
        <v>-5217602482.4299974</v>
      </c>
      <c r="Q39" s="194">
        <f>+Q2-Q13</f>
        <v>-10417956842.999985</v>
      </c>
      <c r="R39" s="194">
        <f t="shared" si="3"/>
        <v>10417956842.999985</v>
      </c>
      <c r="S39" s="194">
        <f t="shared" si="4"/>
        <v>10417956843.700851</v>
      </c>
      <c r="T39" s="195"/>
      <c r="U39" s="196"/>
      <c r="V39" s="197">
        <f>Q39/X39-1</f>
        <v>3.443740335608231</v>
      </c>
      <c r="X39" s="198">
        <v>-2344411701.8988781</v>
      </c>
      <c r="Y39" s="170"/>
    </row>
    <row r="40" spans="1:28" s="171" customFormat="1" ht="9.75" customHeight="1" thickTop="1" x14ac:dyDescent="0.25">
      <c r="A40" s="238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>
        <f t="shared" si="3"/>
        <v>0</v>
      </c>
      <c r="S40" s="239"/>
      <c r="T40" s="240"/>
      <c r="U40" s="241"/>
      <c r="V40" s="242"/>
      <c r="X40" s="243">
        <v>0</v>
      </c>
      <c r="Y40" s="170"/>
    </row>
    <row r="41" spans="1:28" s="171" customFormat="1" ht="9.75" customHeight="1" x14ac:dyDescent="0.25">
      <c r="A41" s="244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>
        <f t="shared" si="3"/>
        <v>0</v>
      </c>
      <c r="S41" s="239"/>
      <c r="T41" s="240"/>
      <c r="U41" s="241"/>
      <c r="V41" s="242"/>
      <c r="X41" s="245">
        <v>0</v>
      </c>
      <c r="Y41" s="170"/>
    </row>
    <row r="42" spans="1:28" s="171" customFormat="1" ht="21" customHeight="1" x14ac:dyDescent="0.25">
      <c r="A42" s="246" t="s">
        <v>207</v>
      </c>
      <c r="B42" s="247">
        <f>+B21+B18+B34</f>
        <v>17172601571</v>
      </c>
      <c r="C42" s="247">
        <f t="shared" ref="C42:S42" si="31">+C21+C18+C34</f>
        <v>15817331501.519331</v>
      </c>
      <c r="D42" s="247">
        <f t="shared" si="31"/>
        <v>17345779215.519333</v>
      </c>
      <c r="E42" s="247">
        <f t="shared" si="31"/>
        <v>787651567</v>
      </c>
      <c r="F42" s="247">
        <f t="shared" si="31"/>
        <v>791808324</v>
      </c>
      <c r="G42" s="247">
        <f t="shared" si="31"/>
        <v>1590358612</v>
      </c>
      <c r="H42" s="247">
        <f t="shared" si="31"/>
        <v>790568239</v>
      </c>
      <c r="I42" s="247">
        <f t="shared" si="31"/>
        <v>434269154</v>
      </c>
      <c r="J42" s="247">
        <f t="shared" si="31"/>
        <v>579193181</v>
      </c>
      <c r="K42" s="247">
        <f t="shared" si="31"/>
        <v>612224535</v>
      </c>
      <c r="L42" s="247">
        <f t="shared" si="31"/>
        <v>1156056633</v>
      </c>
      <c r="M42" s="247">
        <f t="shared" si="31"/>
        <v>116221105</v>
      </c>
      <c r="N42" s="247">
        <f t="shared" si="31"/>
        <v>387570332</v>
      </c>
      <c r="O42" s="247">
        <f t="shared" si="31"/>
        <v>785472935</v>
      </c>
      <c r="P42" s="247">
        <f t="shared" si="31"/>
        <v>2709274699</v>
      </c>
      <c r="Q42" s="247">
        <f>+Q21+Q18+Q34</f>
        <v>10740669316</v>
      </c>
      <c r="R42" s="247">
        <f>+R21+R18+R34</f>
        <v>6431932255</v>
      </c>
      <c r="S42" s="247">
        <f t="shared" si="31"/>
        <v>6605109899.519331</v>
      </c>
      <c r="T42" s="248">
        <f t="shared" si="5"/>
        <v>0.62545382373152825</v>
      </c>
      <c r="U42" s="249">
        <f t="shared" si="6"/>
        <v>0.61920938705309259</v>
      </c>
      <c r="V42" s="250">
        <f>Q42/X42-1</f>
        <v>6.8835511141160035</v>
      </c>
      <c r="X42" s="251">
        <v>1362415130</v>
      </c>
      <c r="Y42" s="170"/>
    </row>
    <row r="43" spans="1:28" s="171" customFormat="1" ht="9.75" customHeight="1" x14ac:dyDescent="0.25">
      <c r="A43" s="252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>
        <f t="shared" si="3"/>
        <v>0</v>
      </c>
      <c r="S43" s="253"/>
      <c r="T43" s="254"/>
      <c r="U43" s="255"/>
      <c r="V43" s="256"/>
      <c r="X43" s="257">
        <v>0</v>
      </c>
      <c r="Y43" s="170"/>
    </row>
    <row r="44" spans="1:28" s="171" customFormat="1" ht="29.25" customHeight="1" thickBot="1" x14ac:dyDescent="0.3">
      <c r="A44" s="258" t="s">
        <v>223</v>
      </c>
      <c r="B44" s="259">
        <f>+B14+B32+B35</f>
        <v>96308350000</v>
      </c>
      <c r="C44" s="259">
        <f t="shared" ref="C44:S44" si="32">+C14+C32+C35</f>
        <v>113105000000.01913</v>
      </c>
      <c r="D44" s="259">
        <f t="shared" si="32"/>
        <v>110500000000.79912</v>
      </c>
      <c r="E44" s="259">
        <f t="shared" si="32"/>
        <v>4924377532.2700005</v>
      </c>
      <c r="F44" s="259">
        <f t="shared" si="32"/>
        <v>8571479228.2999992</v>
      </c>
      <c r="G44" s="259">
        <f t="shared" si="32"/>
        <v>12509503517.199997</v>
      </c>
      <c r="H44" s="259">
        <f t="shared" si="32"/>
        <v>6930912314.4800005</v>
      </c>
      <c r="I44" s="259">
        <f t="shared" si="32"/>
        <v>3855402353.1499991</v>
      </c>
      <c r="J44" s="259">
        <f t="shared" si="32"/>
        <v>5329122448.0100002</v>
      </c>
      <c r="K44" s="259">
        <f t="shared" si="32"/>
        <v>5039882014.8899984</v>
      </c>
      <c r="L44" s="259">
        <f t="shared" si="32"/>
        <v>8397719814.0599976</v>
      </c>
      <c r="M44" s="259">
        <f t="shared" si="32"/>
        <v>3540552665.4300003</v>
      </c>
      <c r="N44" s="259">
        <f t="shared" si="32"/>
        <v>6905159719.5</v>
      </c>
      <c r="O44" s="259">
        <f t="shared" si="32"/>
        <v>10079311409.700001</v>
      </c>
      <c r="P44" s="259">
        <f t="shared" si="32"/>
        <v>9275700294.2299976</v>
      </c>
      <c r="Q44" s="259">
        <f>+Q14+Q32+Q35</f>
        <v>85359123311.219986</v>
      </c>
      <c r="R44" s="259">
        <f t="shared" si="32"/>
        <v>10949226688.780005</v>
      </c>
      <c r="S44" s="259">
        <f t="shared" si="32"/>
        <v>25140876689.579124</v>
      </c>
      <c r="T44" s="260">
        <f t="shared" si="5"/>
        <v>0.88631072291467961</v>
      </c>
      <c r="U44" s="261">
        <f t="shared" si="6"/>
        <v>0.77248075394210569</v>
      </c>
      <c r="V44" s="262">
        <f>Q44/X44-1</f>
        <v>6.6541726672934418</v>
      </c>
      <c r="X44" s="263">
        <v>11151972528.129999</v>
      </c>
      <c r="Y44" s="170"/>
    </row>
    <row r="45" spans="1:28" ht="15.75" thickBot="1" x14ac:dyDescent="0.3">
      <c r="A45" s="264" t="s">
        <v>224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6"/>
    </row>
    <row r="46" spans="1:28" x14ac:dyDescent="0.25">
      <c r="F46" s="267">
        <v>117.85828289</v>
      </c>
      <c r="G46" s="267">
        <v>150.13098063999999</v>
      </c>
      <c r="H46" s="267">
        <v>217.13800000000003</v>
      </c>
      <c r="I46" s="267">
        <v>217.13800000000003</v>
      </c>
      <c r="J46" s="267">
        <v>217.13800000000003</v>
      </c>
      <c r="K46" s="267">
        <v>217.13800000000003</v>
      </c>
      <c r="L46" s="267">
        <v>217.13800000000003</v>
      </c>
      <c r="M46" s="267">
        <v>217.13800000000003</v>
      </c>
      <c r="N46" s="267">
        <v>217.13800000000003</v>
      </c>
      <c r="O46" s="267">
        <v>217.13800000000003</v>
      </c>
      <c r="P46" s="267">
        <v>217.13800000000003</v>
      </c>
      <c r="Q46" s="267">
        <v>148.55410112999999</v>
      </c>
      <c r="R46" s="267">
        <v>1684754720.3100007</v>
      </c>
      <c r="T46" s="267">
        <f>+R46-Q27</f>
        <v>-173159417.84999895</v>
      </c>
    </row>
    <row r="47" spans="1:28" x14ac:dyDescent="0.25">
      <c r="E47" s="267">
        <v>1164763725.2216606</v>
      </c>
      <c r="F47" s="267">
        <v>0</v>
      </c>
      <c r="G47" s="267">
        <v>0</v>
      </c>
      <c r="H47" s="267">
        <v>0</v>
      </c>
      <c r="I47" s="267">
        <v>0</v>
      </c>
      <c r="J47" s="267">
        <v>0</v>
      </c>
      <c r="K47" s="267">
        <v>0</v>
      </c>
      <c r="L47" s="267">
        <v>0</v>
      </c>
      <c r="M47" s="267">
        <v>0</v>
      </c>
      <c r="N47" s="267">
        <v>0</v>
      </c>
      <c r="O47" s="267">
        <v>0</v>
      </c>
      <c r="P47" s="267">
        <v>0</v>
      </c>
      <c r="Q47" s="267">
        <v>549.54741712999999</v>
      </c>
    </row>
    <row r="48" spans="1:28" x14ac:dyDescent="0.25">
      <c r="Q48" s="267">
        <f>+Q47*1000000</f>
        <v>549547417.13</v>
      </c>
      <c r="R48" s="267">
        <f>+H48-H9</f>
        <v>-148554101.13</v>
      </c>
      <c r="S48" s="267">
        <f>+Q48-Q9</f>
        <v>-808989925.24000013</v>
      </c>
    </row>
    <row r="49" spans="4:23" x14ac:dyDescent="0.25">
      <c r="Q49" s="267">
        <f>+'[48]Suivi .trés.au 24 janv. 19'!$AZ$44</f>
        <v>445.67200000000003</v>
      </c>
    </row>
    <row r="50" spans="4:23" x14ac:dyDescent="0.25">
      <c r="Q50" s="267">
        <f>+Q49*1000000</f>
        <v>445672000</v>
      </c>
    </row>
    <row r="52" spans="4:23" x14ac:dyDescent="0.25">
      <c r="Q52" s="267">
        <f>+Q48-E9</f>
        <v>416543364.65999997</v>
      </c>
    </row>
    <row r="53" spans="4:23" x14ac:dyDescent="0.25">
      <c r="E53" s="267" t="e">
        <f>+[49]mensuel_section_article1!J984+[49]mensuel_section_article1!J985+[49]mensuel_section_article1!J990</f>
        <v>#VALUE!</v>
      </c>
      <c r="F53" s="267">
        <f>+[49]mensuel_section_article1!K984+[49]mensuel_section_article1!K985+[49]mensuel_section_article1!K990</f>
        <v>1998628179.02</v>
      </c>
      <c r="G53" s="267">
        <f>+[49]mensuel_section_article1!L984+[49]mensuel_section_article1!L985+[49]mensuel_section_article1!L990</f>
        <v>2197228295.54</v>
      </c>
      <c r="H53" s="267">
        <f>+[49]mensuel_section_article1!M984+[49]mensuel_section_article1!M985+[49]mensuel_section_article1!M990</f>
        <v>3530596482.7899995</v>
      </c>
      <c r="I53" s="267">
        <f>+[49]mensuel_section_article1!N984+[49]mensuel_section_article1!N985+[49]mensuel_section_article1!N990</f>
        <v>0</v>
      </c>
      <c r="J53" s="267">
        <f>+[49]mensuel_section_article1!O984+[49]mensuel_section_article1!O985+[49]mensuel_section_article1!O990</f>
        <v>2062478040.0799999</v>
      </c>
      <c r="K53" s="267">
        <f>+[49]mensuel_section_article1!P984+[49]mensuel_section_article1!P985+[49]mensuel_section_article1!P990</f>
        <v>884990926.78999996</v>
      </c>
      <c r="L53" s="267">
        <f>+[49]mensuel_section_article1!Q984+[49]mensuel_section_article1!Q985+[49]mensuel_section_article1!Q990</f>
        <v>1273700235.2400002</v>
      </c>
      <c r="M53" s="267">
        <f>+[49]mensuel_section_article1!R984+[49]mensuel_section_article1!R985+[49]mensuel_section_article1!R990</f>
        <v>0</v>
      </c>
      <c r="N53" s="267">
        <f>+[49]mensuel_section_article1!S984+[49]mensuel_section_article1!S985+[49]mensuel_section_article1!S990</f>
        <v>0</v>
      </c>
      <c r="O53" s="267">
        <f>+[49]mensuel_section_article1!T984+[49]mensuel_section_article1!T985+[49]mensuel_section_article1!T990</f>
        <v>1374752386.3299999</v>
      </c>
      <c r="P53" s="267">
        <f>+[49]mensuel_section_article1!U984+[49]mensuel_section_article1!U985+[49]mensuel_section_article1!U990</f>
        <v>2281537069.6899996</v>
      </c>
      <c r="Q53" s="267">
        <f>+Q52-180000000</f>
        <v>236543364.65999997</v>
      </c>
      <c r="V53" s="145">
        <v>1825.44218527</v>
      </c>
      <c r="W53" s="267">
        <f>+V53*1000000</f>
        <v>1825442185.27</v>
      </c>
    </row>
    <row r="54" spans="4:23" x14ac:dyDescent="0.25">
      <c r="D54" s="267" t="s">
        <v>225</v>
      </c>
      <c r="E54" s="267" t="e">
        <f>+E53-E22</f>
        <v>#VALUE!</v>
      </c>
      <c r="F54" s="267">
        <f t="shared" ref="F54:P54" si="33">+F53-F22</f>
        <v>1907198100.48</v>
      </c>
      <c r="G54" s="267">
        <f t="shared" si="33"/>
        <v>1977299906.3299999</v>
      </c>
      <c r="H54" s="267">
        <f t="shared" si="33"/>
        <v>3404997386.7299995</v>
      </c>
      <c r="I54" s="267">
        <f t="shared" si="33"/>
        <v>-158598676.89000002</v>
      </c>
      <c r="J54" s="267">
        <f t="shared" si="33"/>
        <v>1929767378.4299998</v>
      </c>
      <c r="K54" s="267">
        <f t="shared" si="33"/>
        <v>884129731.5</v>
      </c>
      <c r="L54" s="267">
        <f t="shared" si="33"/>
        <v>990683461.84000027</v>
      </c>
      <c r="M54" s="267">
        <f t="shared" si="33"/>
        <v>-412189258.57999998</v>
      </c>
      <c r="N54" s="267">
        <f t="shared" si="33"/>
        <v>-20782049.139999997</v>
      </c>
      <c r="O54" s="267">
        <f t="shared" si="33"/>
        <v>801357355.68999994</v>
      </c>
      <c r="P54" s="267">
        <f t="shared" si="33"/>
        <v>2164604264.3699994</v>
      </c>
      <c r="V54" s="145">
        <v>3376.3161289999998</v>
      </c>
      <c r="W54" s="267">
        <f t="shared" ref="W54:W55" si="34">+V54*1000000</f>
        <v>3376316129</v>
      </c>
    </row>
    <row r="55" spans="4:23" x14ac:dyDescent="0.25">
      <c r="D55" s="267" t="s">
        <v>226</v>
      </c>
      <c r="E55" s="267" t="e">
        <f>+E54-[49]mensuel_section_article1!J828</f>
        <v>#VALUE!</v>
      </c>
      <c r="F55" s="267">
        <f>+F54-[49]mensuel_section_article1!K828</f>
        <v>1378436909.48</v>
      </c>
      <c r="G55" s="267">
        <f>+G54-[49]mensuel_section_article1!L828</f>
        <v>1776517406.3299999</v>
      </c>
      <c r="H55" s="267">
        <f>+H54-[49]mensuel_section_article1!M828</f>
        <v>3094337908.7299995</v>
      </c>
      <c r="I55" s="267">
        <f>+I54-[49]mensuel_section_article1!N828</f>
        <v>-1198801845.8900001</v>
      </c>
      <c r="J55" s="267">
        <f>+J54-[49]mensuel_section_article1!O828</f>
        <v>1651811354.4299998</v>
      </c>
      <c r="K55" s="267">
        <f>+K54-[49]mensuel_section_article1!P828</f>
        <v>666576011.5</v>
      </c>
      <c r="L55" s="267">
        <f>+L54-[49]mensuel_section_article1!Q828</f>
        <v>744176576.84000027</v>
      </c>
      <c r="M55" s="267">
        <f>+M54-[49]mensuel_section_article1!R828</f>
        <v>-1154205887.5799999</v>
      </c>
      <c r="N55" s="267">
        <f>+N54-[49]mensuel_section_article1!S828</f>
        <v>-1803001847.1400001</v>
      </c>
      <c r="O55" s="267">
        <f>+O54-[49]mensuel_section_article1!T828</f>
        <v>421554218.68999994</v>
      </c>
      <c r="P55" s="267">
        <f>+P54-[49]mensuel_section_article1!U828</f>
        <v>1793478294.3699994</v>
      </c>
      <c r="Q55" s="267">
        <f>+Q50-Q9</f>
        <v>-912865342.37000012</v>
      </c>
      <c r="V55" s="145">
        <v>3.3506040600000002</v>
      </c>
      <c r="W55" s="267">
        <f t="shared" si="34"/>
        <v>3350604.06</v>
      </c>
    </row>
    <row r="56" spans="4:23" x14ac:dyDescent="0.25">
      <c r="E56" s="267" t="e">
        <f>+E54-E55</f>
        <v>#VALUE!</v>
      </c>
      <c r="F56" s="267">
        <f t="shared" ref="F56:P56" si="35">+F54-F55</f>
        <v>528761191</v>
      </c>
      <c r="G56" s="267">
        <f t="shared" si="35"/>
        <v>200782500</v>
      </c>
      <c r="H56" s="267">
        <f t="shared" si="35"/>
        <v>310659478</v>
      </c>
      <c r="I56" s="267">
        <f t="shared" si="35"/>
        <v>1040203169.0000001</v>
      </c>
      <c r="J56" s="267">
        <f t="shared" si="35"/>
        <v>277956024</v>
      </c>
      <c r="K56" s="267">
        <f t="shared" si="35"/>
        <v>217553720</v>
      </c>
      <c r="L56" s="267">
        <f t="shared" si="35"/>
        <v>246506885</v>
      </c>
      <c r="M56" s="267">
        <f t="shared" si="35"/>
        <v>742016629</v>
      </c>
      <c r="N56" s="267">
        <f t="shared" si="35"/>
        <v>1782219798</v>
      </c>
      <c r="O56" s="267">
        <f t="shared" si="35"/>
        <v>379803137</v>
      </c>
      <c r="P56" s="267">
        <f t="shared" si="35"/>
        <v>371125970</v>
      </c>
    </row>
    <row r="58" spans="4:23" x14ac:dyDescent="0.25">
      <c r="N58" s="267">
        <v>1723092231.8400006</v>
      </c>
      <c r="O58" s="267">
        <v>1723092231.8400006</v>
      </c>
      <c r="P58" s="267">
        <v>1723092231.8400006</v>
      </c>
      <c r="Q58" s="267">
        <f>+N58-Q27</f>
        <v>-134821906.31999898</v>
      </c>
    </row>
    <row r="60" spans="4:23" x14ac:dyDescent="0.25">
      <c r="V60" s="145">
        <v>2850.8710621999999</v>
      </c>
      <c r="W60" s="156">
        <f>+V60*1000000</f>
        <v>2850871062.1999998</v>
      </c>
    </row>
    <row r="61" spans="4:23" x14ac:dyDescent="0.25">
      <c r="V61" s="145">
        <v>1799.2662437000001</v>
      </c>
      <c r="W61" s="156">
        <f>+V61*1000000</f>
        <v>1799266243.7</v>
      </c>
    </row>
    <row r="62" spans="4:23" x14ac:dyDescent="0.25">
      <c r="V62" s="145">
        <v>1.039714</v>
      </c>
      <c r="W62" s="156">
        <f t="shared" ref="W62" si="36">+V62*1000000</f>
        <v>1039714</v>
      </c>
    </row>
    <row r="64" spans="4:23" x14ac:dyDescent="0.25">
      <c r="H64" s="267">
        <v>1297.8131732600002</v>
      </c>
      <c r="I64" s="267">
        <v>3311.4672324900002</v>
      </c>
      <c r="J64" s="267">
        <v>3311.4672324900002</v>
      </c>
      <c r="K64" s="267">
        <v>3311.4672324900002</v>
      </c>
      <c r="L64" s="267">
        <v>3311.4672324900002</v>
      </c>
      <c r="M64" s="267">
        <v>3311.4672324900002</v>
      </c>
      <c r="N64" s="267">
        <v>3311.4672324900002</v>
      </c>
      <c r="O64" s="267">
        <v>3311.4672324900002</v>
      </c>
      <c r="P64" s="267">
        <v>3311.4672324900002</v>
      </c>
      <c r="Q64" s="267">
        <f>+I64*1000000</f>
        <v>3311467232.4900002</v>
      </c>
      <c r="R64" s="267">
        <f>+H64*1000000</f>
        <v>1297813173.2600002</v>
      </c>
    </row>
    <row r="65" spans="8:18" x14ac:dyDescent="0.25">
      <c r="H65" s="267">
        <v>2198.8951156399999</v>
      </c>
      <c r="I65" s="267">
        <v>3755.3929789900003</v>
      </c>
      <c r="J65" s="267">
        <v>3755.3929789900003</v>
      </c>
      <c r="K65" s="267">
        <v>3755.3929789900003</v>
      </c>
      <c r="L65" s="267">
        <v>3755.3929789900003</v>
      </c>
      <c r="M65" s="267">
        <v>3755.3929789900003</v>
      </c>
      <c r="N65" s="267">
        <v>3755.3929789900003</v>
      </c>
      <c r="O65" s="267">
        <v>3755.3929789900003</v>
      </c>
      <c r="P65" s="267">
        <v>3755.3929789900003</v>
      </c>
      <c r="Q65" s="267">
        <f t="shared" ref="Q65:Q66" si="37">+I65*1000000</f>
        <v>3755392978.9900002</v>
      </c>
      <c r="R65" s="267">
        <f t="shared" ref="R65:R66" si="38">+H65*1000000</f>
        <v>2198895115.6399999</v>
      </c>
    </row>
    <row r="66" spans="8:18" x14ac:dyDescent="0.25">
      <c r="H66" s="267">
        <v>3.00367126</v>
      </c>
      <c r="I66" s="267">
        <v>12.26208746</v>
      </c>
      <c r="J66" s="267">
        <v>12.26208746</v>
      </c>
      <c r="K66" s="267">
        <v>12.26208746</v>
      </c>
      <c r="L66" s="267">
        <v>12.26208746</v>
      </c>
      <c r="M66" s="267">
        <v>12.26208746</v>
      </c>
      <c r="N66" s="267">
        <v>12.26208746</v>
      </c>
      <c r="O66" s="267">
        <v>12.26208746</v>
      </c>
      <c r="P66" s="267">
        <v>12.26208746</v>
      </c>
      <c r="Q66" s="267">
        <f t="shared" si="37"/>
        <v>12262087.460000001</v>
      </c>
      <c r="R66" s="267">
        <f t="shared" si="38"/>
        <v>3003671.26</v>
      </c>
    </row>
  </sheetData>
  <printOptions horizontalCentered="1"/>
  <pageMargins left="0" right="0" top="1.4" bottom="0.75" header="0.38" footer="0.3"/>
  <pageSetup scale="85" orientation="portrait" r:id="rId1"/>
  <headerFooter>
    <oddHeader>&amp;C&amp;"Arial,Bold"&amp;12DIRECTION GENERALE DU BUDGET
DIRECTION DES ETUDES ET DE LA PROGRAMMATION BUDGETAIRE
TABLEAU DES RECETTES ENCAISSEES ET DES DEPENSES AUTORISEES
EXERCICE 2018-2019&amp;"Arial,Regular"
&amp;"Arial,Italic"Du 1er octobre 2018 au 30 septembre 2019</oddHeader>
  </headerFooter>
  <colBreaks count="1" manualBreakCount="1">
    <brk id="20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999"/>
  <sheetViews>
    <sheetView tabSelected="1" view="pageBreakPreview" zoomScale="86" zoomScaleSheetLayoutView="86" workbookViewId="0">
      <pane xSplit="5" ySplit="4" topLeftCell="H594" activePane="bottomRight" state="frozen"/>
      <selection activeCell="BB358" sqref="BB358"/>
      <selection pane="topRight" activeCell="BB358" sqref="BB358"/>
      <selection pane="bottomLeft" activeCell="BB358" sqref="BB358"/>
      <selection pane="bottomRight" activeCell="E631" sqref="E631"/>
    </sheetView>
  </sheetViews>
  <sheetFormatPr defaultColWidth="11.42578125" defaultRowHeight="15" x14ac:dyDescent="0.25"/>
  <cols>
    <col min="1" max="1" width="15.85546875" hidden="1" customWidth="1"/>
    <col min="2" max="3" width="14.28515625" hidden="1" customWidth="1"/>
    <col min="4" max="4" width="16.5703125" bestFit="1" customWidth="1"/>
    <col min="5" max="5" width="52.140625" customWidth="1"/>
    <col min="6" max="6" width="18.7109375" style="139" hidden="1" customWidth="1"/>
    <col min="7" max="7" width="17" style="134" hidden="1" customWidth="1"/>
    <col min="8" max="8" width="18.42578125" style="134" customWidth="1"/>
    <col min="9" max="9" width="18.42578125" style="134" hidden="1" customWidth="1"/>
    <col min="10" max="10" width="19.5703125" style="134" customWidth="1"/>
    <col min="11" max="11" width="20.42578125" style="134" customWidth="1"/>
    <col min="12" max="12" width="13.5703125" style="135" customWidth="1"/>
    <col min="13" max="13" width="17.7109375" style="134" customWidth="1"/>
    <col min="14" max="14" width="19.42578125" customWidth="1"/>
    <col min="15" max="15" width="21" style="15" customWidth="1"/>
    <col min="16" max="16" width="19.5703125" customWidth="1"/>
    <col min="17" max="17" width="19.7109375" customWidth="1"/>
    <col min="18" max="19" width="17.42578125" customWidth="1"/>
    <col min="20" max="35" width="11.42578125" customWidth="1"/>
    <col min="36" max="36" width="12.28515625" customWidth="1"/>
    <col min="37" max="37" width="19" customWidth="1"/>
    <col min="38" max="38" width="17.5703125" customWidth="1"/>
    <col min="39" max="40" width="16.7109375" customWidth="1"/>
    <col min="41" max="41" width="15.7109375" style="17" customWidth="1"/>
    <col min="42" max="42" width="14.85546875" bestFit="1" customWidth="1"/>
    <col min="43" max="43" width="15.140625" bestFit="1" customWidth="1"/>
  </cols>
  <sheetData>
    <row r="1" spans="1:42" s="1" customFormat="1" ht="36" customHeight="1" x14ac:dyDescent="0.25">
      <c r="B1" s="2"/>
      <c r="C1" s="2"/>
      <c r="D1" s="3"/>
      <c r="E1" s="4">
        <f>112700000000-J4</f>
        <v>27340876688.780014</v>
      </c>
      <c r="F1" s="5"/>
      <c r="G1" s="6" t="e">
        <f>+G4/12</f>
        <v>#VALUE!</v>
      </c>
      <c r="H1" s="6">
        <v>8025695833.3638573</v>
      </c>
      <c r="I1" s="6">
        <v>8042783083.3183336</v>
      </c>
      <c r="J1" s="6">
        <v>7113260275.9349985</v>
      </c>
      <c r="K1" s="6" t="e">
        <f>+J4+GETPIVOTDATA("Variation annuelle",[50]Table2!$A$1)</f>
        <v>#REF!</v>
      </c>
      <c r="L1" s="7">
        <v>112975986848.88062</v>
      </c>
      <c r="M1" s="6"/>
      <c r="N1" s="8"/>
      <c r="O1" s="9"/>
      <c r="P1" s="8"/>
      <c r="AL1" s="10"/>
      <c r="AO1" s="11"/>
    </row>
    <row r="2" spans="1:42" ht="43.5" customHeight="1" x14ac:dyDescent="0.25">
      <c r="A2" s="12" t="s">
        <v>0</v>
      </c>
      <c r="B2" s="12" t="s">
        <v>1</v>
      </c>
      <c r="C2" s="13" t="s">
        <v>2</v>
      </c>
      <c r="D2" s="275" t="s">
        <v>3</v>
      </c>
      <c r="E2" s="277" t="s">
        <v>4</v>
      </c>
      <c r="F2" s="269" t="s">
        <v>5</v>
      </c>
      <c r="G2" s="269" t="s">
        <v>6</v>
      </c>
      <c r="H2" s="269" t="s">
        <v>7</v>
      </c>
      <c r="I2" s="269" t="s">
        <v>7</v>
      </c>
      <c r="J2" s="269" t="s">
        <v>8</v>
      </c>
      <c r="K2" s="271" t="s">
        <v>9</v>
      </c>
      <c r="L2" s="273" t="s">
        <v>10</v>
      </c>
      <c r="M2" s="269"/>
      <c r="N2" s="14"/>
      <c r="P2" s="16"/>
      <c r="AK2" s="14"/>
      <c r="AL2" s="14"/>
      <c r="AM2" s="14"/>
      <c r="AN2" s="14"/>
      <c r="AO2" s="17" t="e">
        <f>+K9-#REF!</f>
        <v>#REF!</v>
      </c>
    </row>
    <row r="3" spans="1:42" ht="24" customHeight="1" thickBot="1" x14ac:dyDescent="0.3">
      <c r="A3" s="18"/>
      <c r="B3" s="18"/>
      <c r="C3" s="13"/>
      <c r="D3" s="276"/>
      <c r="E3" s="278"/>
      <c r="F3" s="270"/>
      <c r="G3" s="270"/>
      <c r="H3" s="270"/>
      <c r="I3" s="270"/>
      <c r="J3" s="270"/>
      <c r="K3" s="272"/>
      <c r="L3" s="274"/>
      <c r="M3" s="270"/>
      <c r="N3" s="14"/>
      <c r="P3" s="16"/>
      <c r="AK3" s="14"/>
      <c r="AL3" s="14"/>
      <c r="AM3" s="14"/>
      <c r="AN3" s="14"/>
    </row>
    <row r="4" spans="1:42" s="1" customFormat="1" ht="27" customHeight="1" thickTop="1" thickBot="1" x14ac:dyDescent="0.3">
      <c r="D4" s="19"/>
      <c r="E4" s="20" t="s">
        <v>11</v>
      </c>
      <c r="F4" s="21" t="e">
        <f>SUMIF($B$5:$B$964,"POUVOIR",F5:F964)</f>
        <v>#VALUE!</v>
      </c>
      <c r="G4" s="21" t="e">
        <f>SUMIF($B$5:$B$964,"POUVOIR",G5:G964)</f>
        <v>#VALUE!</v>
      </c>
      <c r="H4" s="21">
        <f>SUMIF($B$5:$B$964,"POUVOIR",H5:H964)</f>
        <v>96308350000.366287</v>
      </c>
      <c r="I4" s="21">
        <v>96513396999.820007</v>
      </c>
      <c r="J4" s="21">
        <f>SUMIF($B$5:$B$964,"POUVOIR",J5:J964)</f>
        <v>85359123311.219986</v>
      </c>
      <c r="K4" s="21">
        <f>SUMIF($B$5:$B$964,"POUVOIR",K5:K964)</f>
        <v>10949226689.146313</v>
      </c>
      <c r="L4" s="22">
        <f>+J4/H4</f>
        <v>0.88631072291130875</v>
      </c>
      <c r="M4" s="21"/>
      <c r="N4" s="21"/>
      <c r="O4" s="9"/>
      <c r="P4" s="8"/>
      <c r="Q4" s="23"/>
      <c r="AK4" s="24"/>
      <c r="AL4" s="24"/>
      <c r="AM4" s="24"/>
      <c r="AN4" s="24"/>
      <c r="AO4" s="11" t="e">
        <f>+K4-#REF!</f>
        <v>#REF!</v>
      </c>
    </row>
    <row r="5" spans="1:42" s="1" customFormat="1" ht="27.75" customHeight="1" thickTop="1" thickBot="1" x14ac:dyDescent="0.3">
      <c r="A5" s="25" t="s">
        <v>12</v>
      </c>
      <c r="B5" s="25" t="s">
        <v>12</v>
      </c>
      <c r="C5" s="25" t="s">
        <v>12</v>
      </c>
      <c r="D5" s="26">
        <v>1</v>
      </c>
      <c r="E5" s="27" t="s">
        <v>13</v>
      </c>
      <c r="F5" s="28" t="e">
        <f>SUMIF($B$6:$B$849,"secteur",F6:F849)</f>
        <v>#VALUE!</v>
      </c>
      <c r="G5" s="28" t="e">
        <f>SUMIF($B$6:$B$849,"secteur",G6:G849)</f>
        <v>#VALUE!</v>
      </c>
      <c r="H5" s="28">
        <f>SUMIF($B$6:$B$849,"secteur",H6:H849)</f>
        <v>86295021227.76384</v>
      </c>
      <c r="I5" s="28">
        <v>86386066302.920013</v>
      </c>
      <c r="J5" s="28">
        <f>SUMIF($B$6:$B$849,"secteur",J6:J849)</f>
        <v>75898633157.049988</v>
      </c>
      <c r="K5" s="28">
        <f>SUMIF($B$6:$B$849,"secteur",K6:K849)</f>
        <v>10396388070.713854</v>
      </c>
      <c r="L5" s="29">
        <f t="shared" ref="L5:L13" si="0">+J5/H5</f>
        <v>0.87952505344110155</v>
      </c>
      <c r="M5" s="28"/>
      <c r="N5" s="28"/>
      <c r="O5" s="9"/>
      <c r="Q5" s="23"/>
      <c r="AK5" s="30"/>
      <c r="AL5" s="30"/>
      <c r="AM5" s="30"/>
      <c r="AN5" s="30"/>
      <c r="AO5" s="11"/>
    </row>
    <row r="6" spans="1:42" s="1" customFormat="1" ht="27.75" customHeight="1" thickTop="1" thickBot="1" x14ac:dyDescent="0.3">
      <c r="A6" s="31" t="s">
        <v>14</v>
      </c>
      <c r="B6" s="31" t="s">
        <v>14</v>
      </c>
      <c r="C6" s="31" t="s">
        <v>14</v>
      </c>
      <c r="D6" s="32">
        <v>11</v>
      </c>
      <c r="E6" s="33" t="s">
        <v>15</v>
      </c>
      <c r="F6" s="34" t="e">
        <f>SUMIF($B$7:$B$325,"min",F7:F325)</f>
        <v>#VALUE!</v>
      </c>
      <c r="G6" s="34" t="e">
        <f>SUMIF($B$7:$B$325,"min",G7:G325)</f>
        <v>#VALUE!</v>
      </c>
      <c r="H6" s="34">
        <f>SUMIF($B$7:$B$325,"min",H7:H325)</f>
        <v>11090580652.903856</v>
      </c>
      <c r="I6" s="34">
        <v>11081683487.4</v>
      </c>
      <c r="J6" s="34">
        <f>SUMIF($B$7:$B$325,"min",J7:J325)</f>
        <v>10461503073.17</v>
      </c>
      <c r="K6" s="34">
        <f>SUMIF($B$7:$B$325,"min",K7:K325)</f>
        <v>629077579.73385739</v>
      </c>
      <c r="L6" s="35">
        <f t="shared" si="0"/>
        <v>0.94327821063461237</v>
      </c>
      <c r="M6" s="34"/>
      <c r="N6" s="34"/>
      <c r="O6" s="9"/>
      <c r="Q6" s="23"/>
      <c r="AK6" s="36"/>
      <c r="AL6" s="36"/>
      <c r="AM6" s="36"/>
      <c r="AN6" s="36"/>
      <c r="AO6" s="11"/>
    </row>
    <row r="7" spans="1:42" s="1" customFormat="1" ht="27.75" customHeight="1" thickTop="1" x14ac:dyDescent="0.25">
      <c r="A7" s="37" t="s">
        <v>16</v>
      </c>
      <c r="B7" s="37" t="s">
        <v>16</v>
      </c>
      <c r="C7" s="37" t="s">
        <v>16</v>
      </c>
      <c r="D7" s="38" t="s">
        <v>17</v>
      </c>
      <c r="E7" s="39" t="s">
        <v>18</v>
      </c>
      <c r="F7" s="40" t="e">
        <f>SUMIF($B$8:$B$44,"chap",F8:F44)</f>
        <v>#VALUE!</v>
      </c>
      <c r="G7" s="40" t="e">
        <f>SUMIF($B$8:$B$44,"chap",G8:G44)</f>
        <v>#VALUE!</v>
      </c>
      <c r="H7" s="40">
        <f>SUMIF($B$8:$B$44,"chap",H8:H44)</f>
        <v>1114314103.688735</v>
      </c>
      <c r="I7" s="40">
        <v>1114314103.0999999</v>
      </c>
      <c r="J7" s="40">
        <f>SUMIF($B$8:$B$44,"chap",J8:J44)</f>
        <v>1064539876.79</v>
      </c>
      <c r="K7" s="40">
        <f>SUMIF($B$8:$B$44,"chap",K8:K44)</f>
        <v>49774226.898734972</v>
      </c>
      <c r="L7" s="41">
        <f t="shared" si="0"/>
        <v>0.95533196005150933</v>
      </c>
      <c r="M7" s="40"/>
      <c r="N7" s="40"/>
      <c r="O7" s="9"/>
      <c r="Q7" s="23"/>
      <c r="AJ7" s="42"/>
      <c r="AK7" s="42"/>
      <c r="AL7" s="42"/>
      <c r="AM7" s="42"/>
      <c r="AN7" s="42"/>
      <c r="AO7" s="11"/>
    </row>
    <row r="8" spans="1:42" s="49" customFormat="1" ht="27.75" customHeight="1" x14ac:dyDescent="0.25">
      <c r="A8" s="43" t="s">
        <v>19</v>
      </c>
      <c r="B8" s="43" t="s">
        <v>19</v>
      </c>
      <c r="C8" s="43" t="s">
        <v>19</v>
      </c>
      <c r="D8" s="44">
        <v>11111</v>
      </c>
      <c r="E8" s="45" t="str">
        <f>VLOOKUP(D8,[49]INST!$A$1:$B$626,2,FALSE)</f>
        <v>SERVICES INTERNES</v>
      </c>
      <c r="F8" s="46" t="e">
        <f>SUMIF($B$9:$B$44,"section",F9:F44)</f>
        <v>#VALUE!</v>
      </c>
      <c r="G8" s="46" t="e">
        <f>SUMIF($B$9:$B$44,"section",G9:G44)</f>
        <v>#VALUE!</v>
      </c>
      <c r="H8" s="46">
        <f>SUMIF($B$9:$B$44,"section",H9:H44)</f>
        <v>1114314103.688735</v>
      </c>
      <c r="I8" s="46">
        <v>1114314103.0999999</v>
      </c>
      <c r="J8" s="46">
        <f>SUMIF($B$9:$B$44,"section",J9:J44)</f>
        <v>1064539876.79</v>
      </c>
      <c r="K8" s="46">
        <f>SUMIF($B$9:$B$44,"section",K9:K44)</f>
        <v>49774226.898734972</v>
      </c>
      <c r="L8" s="47">
        <f t="shared" si="0"/>
        <v>0.95533196005150933</v>
      </c>
      <c r="M8" s="46"/>
      <c r="N8" s="46"/>
      <c r="O8" s="48"/>
      <c r="AO8" s="11"/>
    </row>
    <row r="9" spans="1:42" s="1" customFormat="1" ht="27.75" customHeight="1" thickBot="1" x14ac:dyDescent="0.3">
      <c r="A9" s="50" t="s">
        <v>20</v>
      </c>
      <c r="B9" s="50" t="s">
        <v>20</v>
      </c>
      <c r="C9" s="50" t="s">
        <v>20</v>
      </c>
      <c r="D9" s="51">
        <v>1111111</v>
      </c>
      <c r="E9" s="52" t="s">
        <v>21</v>
      </c>
      <c r="F9" s="53" t="e">
        <f>SUMIF($B$10:$B$16,"article",F10:F16)</f>
        <v>#VALUE!</v>
      </c>
      <c r="G9" s="53" t="e">
        <f>SUMIF($B$10:$B$16,"article",G10:G16)</f>
        <v>#VALUE!</v>
      </c>
      <c r="H9" s="53">
        <f>SUMIF($B$10:$B$16,"article",H10:H16)</f>
        <v>103990638.35000001</v>
      </c>
      <c r="I9" s="53">
        <v>96495051.669999987</v>
      </c>
      <c r="J9" s="53">
        <f>SUMIF($B$10:$B$16,"article",J10:J16)</f>
        <v>84905650.530000001</v>
      </c>
      <c r="K9" s="53">
        <f>SUMIF($B$10:$B$16,"article",K10:K16)</f>
        <v>19084987.820000008</v>
      </c>
      <c r="L9" s="54">
        <f t="shared" si="0"/>
        <v>0.81647398147739125</v>
      </c>
      <c r="M9" s="53"/>
      <c r="N9" s="53"/>
      <c r="O9" s="9"/>
      <c r="Q9" s="23"/>
      <c r="AJ9" s="55"/>
      <c r="AK9" s="55"/>
      <c r="AL9" s="55"/>
      <c r="AM9" s="55"/>
      <c r="AN9" s="55"/>
      <c r="AO9" s="11">
        <v>1111111</v>
      </c>
    </row>
    <row r="10" spans="1:42" s="62" customFormat="1" ht="27.75" customHeight="1" thickTop="1" thickBot="1" x14ac:dyDescent="0.3">
      <c r="A10" s="56" t="s">
        <v>22</v>
      </c>
      <c r="B10" s="56" t="s">
        <v>22</v>
      </c>
      <c r="C10" s="57">
        <f t="shared" ref="C10:C16" si="1">IF(A9="SECTION",D9,C9)</f>
        <v>1111111</v>
      </c>
      <c r="D10" s="58">
        <v>1</v>
      </c>
      <c r="E10" s="59" t="str">
        <f t="shared" ref="E10:E44" si="2">IF(D10=1, "DEPENSES DE PERSONNEL",  +IF(D10=2,"DEPENSES DE SERVICES ET CHARGES DIVERSES", +IF(D10=3,"ACHATS DE BIENS DE CONSOMMATION ET PETITS MATERIELS",+IF(D10=4,"IMMOBILISATION CORPORELLE",+IF(D10=5,"IMMOBILISATION INCORPORELLE",+IF(D10=7,"SUBVENTIONS,QUOTES-PARTS ET CONTRIB.,ALLOC, INDEMNISATIONS",+IF(D10=8,"AMORTISSEMENT DE LA DETTE",+IF(D10=9,"AUTRES DEPENSES PUBLIQUES",0))))))))</f>
        <v>DEPENSES DE PERSONNEL</v>
      </c>
      <c r="F10" s="60" t="e">
        <f>SUMIFS([49]mensuel_section_article1!$E$3:$E$962,[49]mensuel_section_article1!$B$3:$B$962,C10,[49]mensuel_section_article1!$C$3:$C$962,D10)</f>
        <v>#VALUE!</v>
      </c>
      <c r="G10" s="60" t="e">
        <f>SUMIFS([49]mensuel_section_article1!$G$3:$G$962,[49]mensuel_section_article1!$B$3:$B$962,C10,[49]mensuel_section_article1!$C$3:$C$962,D10)</f>
        <v>#VALUE!</v>
      </c>
      <c r="H10" s="60">
        <v>25038402.400000002</v>
      </c>
      <c r="I10" s="60">
        <v>39624557.729999989</v>
      </c>
      <c r="J10" s="60">
        <v>38978319.450000003</v>
      </c>
      <c r="K10" s="60">
        <f>+H10-J10</f>
        <v>-13939917.050000001</v>
      </c>
      <c r="L10" s="61">
        <f>+J10/H10</f>
        <v>1.5567414736492933</v>
      </c>
      <c r="M10" s="60"/>
      <c r="N10" s="24"/>
      <c r="O10" s="9"/>
      <c r="Q10" s="63"/>
      <c r="AJ10" s="64"/>
      <c r="AK10" s="64"/>
      <c r="AL10" s="64"/>
      <c r="AM10" s="64"/>
      <c r="AN10" s="64"/>
      <c r="AO10" s="11">
        <v>1111111</v>
      </c>
      <c r="AP10" s="65" t="str">
        <f t="shared" ref="AP10:AP16" si="3">CONCATENATE(AO10,D10)</f>
        <v>11111111</v>
      </c>
    </row>
    <row r="11" spans="1:42" s="62" customFormat="1" ht="27.75" customHeight="1" thickTop="1" thickBot="1" x14ac:dyDescent="0.3">
      <c r="A11" s="56" t="s">
        <v>22</v>
      </c>
      <c r="B11" s="56" t="s">
        <v>22</v>
      </c>
      <c r="C11" s="57">
        <f t="shared" si="1"/>
        <v>1111111</v>
      </c>
      <c r="D11" s="58">
        <v>2</v>
      </c>
      <c r="E11" s="59" t="str">
        <f t="shared" si="2"/>
        <v>DEPENSES DE SERVICES ET CHARGES DIVERSES</v>
      </c>
      <c r="F11" s="60" t="e">
        <f>SUMIFS([49]mensuel_section_article1!$E$3:$E$962,[49]mensuel_section_article1!$B$3:$B$962,C11,[49]mensuel_section_article1!$C$3:$C$962,D11)</f>
        <v>#VALUE!</v>
      </c>
      <c r="G11" s="60" t="e">
        <f>SUMIFS([49]mensuel_section_article1!$G$3:$G$962,[49]mensuel_section_article1!$B$3:$B$962,C11,[49]mensuel_section_article1!$C$3:$C$962,D11)</f>
        <v>#VALUE!</v>
      </c>
      <c r="H11" s="60">
        <v>27387867.039999999</v>
      </c>
      <c r="I11" s="60">
        <v>12577514.970000001</v>
      </c>
      <c r="J11" s="60">
        <v>6321337.9399999995</v>
      </c>
      <c r="K11" s="60">
        <f t="shared" ref="K11:K16" si="4">+H11-J11</f>
        <v>21066529.100000001</v>
      </c>
      <c r="L11" s="61">
        <f t="shared" si="0"/>
        <v>0.23080796802349307</v>
      </c>
      <c r="M11" s="60"/>
      <c r="N11" s="24"/>
      <c r="O11" s="9"/>
      <c r="Q11" s="63"/>
      <c r="AJ11" s="64"/>
      <c r="AK11" s="64"/>
      <c r="AL11" s="64"/>
      <c r="AM11" s="64"/>
      <c r="AN11" s="64"/>
      <c r="AO11" s="11">
        <v>1111111</v>
      </c>
      <c r="AP11" s="65" t="str">
        <f t="shared" si="3"/>
        <v>11111112</v>
      </c>
    </row>
    <row r="12" spans="1:42" s="62" customFormat="1" ht="27.75" customHeight="1" thickTop="1" thickBot="1" x14ac:dyDescent="0.3">
      <c r="A12" s="56" t="s">
        <v>22</v>
      </c>
      <c r="B12" s="56" t="s">
        <v>22</v>
      </c>
      <c r="C12" s="57">
        <f t="shared" si="1"/>
        <v>1111111</v>
      </c>
      <c r="D12" s="58">
        <v>3</v>
      </c>
      <c r="E12" s="59" t="str">
        <f t="shared" si="2"/>
        <v>ACHATS DE BIENS DE CONSOMMATION ET PETITS MATERIELS</v>
      </c>
      <c r="F12" s="60" t="e">
        <f>SUMIFS([49]mensuel_section_article1!$E$3:$E$962,[49]mensuel_section_article1!$B$3:$B$962,C12,[49]mensuel_section_article1!$C$3:$C$962,D12)</f>
        <v>#VALUE!</v>
      </c>
      <c r="G12" s="60" t="e">
        <f>SUMIFS([49]mensuel_section_article1!$G$3:$G$962,[49]mensuel_section_article1!$B$3:$B$962,C12,[49]mensuel_section_article1!$C$3:$C$962,D12)</f>
        <v>#VALUE!</v>
      </c>
      <c r="H12" s="60">
        <v>8780073.0800000001</v>
      </c>
      <c r="I12" s="60">
        <v>7652073.1000000006</v>
      </c>
      <c r="J12" s="60">
        <v>4363281.54</v>
      </c>
      <c r="K12" s="60">
        <f t="shared" si="4"/>
        <v>4416791.54</v>
      </c>
      <c r="L12" s="61">
        <f t="shared" si="0"/>
        <v>0.49695275884879081</v>
      </c>
      <c r="M12" s="60"/>
      <c r="N12" s="24"/>
      <c r="O12" s="9"/>
      <c r="Q12" s="63"/>
      <c r="AJ12" s="64"/>
      <c r="AK12" s="64"/>
      <c r="AL12" s="64"/>
      <c r="AM12" s="64"/>
      <c r="AN12" s="64"/>
      <c r="AO12" s="11">
        <v>1111111</v>
      </c>
      <c r="AP12" s="65" t="str">
        <f t="shared" si="3"/>
        <v>11111113</v>
      </c>
    </row>
    <row r="13" spans="1:42" s="62" customFormat="1" ht="27.75" customHeight="1" thickTop="1" thickBot="1" x14ac:dyDescent="0.3">
      <c r="A13" s="56" t="s">
        <v>22</v>
      </c>
      <c r="B13" s="56" t="s">
        <v>22</v>
      </c>
      <c r="C13" s="57">
        <f t="shared" si="1"/>
        <v>1111111</v>
      </c>
      <c r="D13" s="58">
        <v>4</v>
      </c>
      <c r="E13" s="59" t="str">
        <f t="shared" si="2"/>
        <v>IMMOBILISATION CORPORELLE</v>
      </c>
      <c r="F13" s="60" t="e">
        <f>SUMIFS([49]mensuel_section_article1!$E$3:$E$962,[49]mensuel_section_article1!$B$3:$B$962,C13,[49]mensuel_section_article1!$C$3:$C$962,D13)</f>
        <v>#VALUE!</v>
      </c>
      <c r="G13" s="60" t="e">
        <f>SUMIFS([49]mensuel_section_article1!$G$3:$G$962,[49]mensuel_section_article1!$B$3:$B$962,C13,[49]mensuel_section_article1!$C$3:$C$962,D13)</f>
        <v>#VALUE!</v>
      </c>
      <c r="H13" s="60">
        <v>2499999.96</v>
      </c>
      <c r="I13" s="60">
        <v>2500000</v>
      </c>
      <c r="J13" s="60">
        <v>1201398</v>
      </c>
      <c r="K13" s="60">
        <f t="shared" si="4"/>
        <v>1298601.96</v>
      </c>
      <c r="L13" s="61">
        <f t="shared" si="0"/>
        <v>0.48055920768894733</v>
      </c>
      <c r="M13" s="60"/>
      <c r="N13" s="24"/>
      <c r="O13" s="9"/>
      <c r="Q13" s="63"/>
      <c r="AJ13" s="64"/>
      <c r="AK13" s="64"/>
      <c r="AL13" s="64"/>
      <c r="AM13" s="64"/>
      <c r="AN13" s="64"/>
      <c r="AO13" s="11">
        <v>1111111</v>
      </c>
      <c r="AP13" s="65" t="str">
        <f t="shared" si="3"/>
        <v>11111114</v>
      </c>
    </row>
    <row r="14" spans="1:42" s="62" customFormat="1" ht="27.75" hidden="1" customHeight="1" thickTop="1" thickBot="1" x14ac:dyDescent="0.3">
      <c r="A14" s="56" t="s">
        <v>22</v>
      </c>
      <c r="B14" s="56" t="s">
        <v>22</v>
      </c>
      <c r="C14" s="57">
        <f t="shared" si="1"/>
        <v>1111111</v>
      </c>
      <c r="D14" s="58">
        <v>5</v>
      </c>
      <c r="E14" s="59" t="str">
        <f t="shared" si="2"/>
        <v>IMMOBILISATION INCORPORELLE</v>
      </c>
      <c r="F14" s="60" t="e">
        <f>SUMIFS([49]mensuel_section_article1!$E$3:$E$962,[49]mensuel_section_article1!$B$3:$B$962,C14,[49]mensuel_section_article1!$C$3:$C$962,D14)</f>
        <v>#VALUE!</v>
      </c>
      <c r="G14" s="60" t="e">
        <f>SUMIFS([49]mensuel_section_article1!$G$3:$G$962,[49]mensuel_section_article1!$B$3:$B$962,C14,[49]mensuel_section_article1!$C$3:$C$962,D14)</f>
        <v>#VALUE!</v>
      </c>
      <c r="H14" s="60">
        <v>0</v>
      </c>
      <c r="I14" s="60">
        <v>0</v>
      </c>
      <c r="J14" s="60">
        <v>0</v>
      </c>
      <c r="K14" s="60">
        <f t="shared" si="4"/>
        <v>0</v>
      </c>
      <c r="L14" s="61" t="e">
        <f>IF(F14&lt;&gt;0,K14/F14,0)</f>
        <v>#VALUE!</v>
      </c>
      <c r="M14" s="60" t="e">
        <f>+SUMIFS([51]section_article!$H$10:$H$936,[51]section_article!$C$10:$C$936,C14,[51]section_article!$D$10:$D$936,D14)</f>
        <v>#VALUE!</v>
      </c>
      <c r="N14" s="24" t="e">
        <f t="shared" ref="N10:N16" si="5">+J14-M14</f>
        <v>#VALUE!</v>
      </c>
      <c r="O14" s="9"/>
      <c r="Q14" s="63"/>
      <c r="AJ14" s="64"/>
      <c r="AK14" s="64"/>
      <c r="AL14" s="64"/>
      <c r="AM14" s="64"/>
      <c r="AN14" s="64"/>
      <c r="AO14" s="11">
        <v>1111111</v>
      </c>
      <c r="AP14" s="65" t="str">
        <f t="shared" si="3"/>
        <v>11111115</v>
      </c>
    </row>
    <row r="15" spans="1:42" s="62" customFormat="1" ht="27.75" customHeight="1" thickTop="1" thickBot="1" x14ac:dyDescent="0.3">
      <c r="A15" s="56" t="s">
        <v>22</v>
      </c>
      <c r="B15" s="56" t="s">
        <v>22</v>
      </c>
      <c r="C15" s="57">
        <f t="shared" si="1"/>
        <v>1111111</v>
      </c>
      <c r="D15" s="58">
        <v>7</v>
      </c>
      <c r="E15" s="59" t="str">
        <f t="shared" si="2"/>
        <v>SUBVENTIONS,QUOTES-PARTS ET CONTRIB.,ALLOC, INDEMNISATIONS</v>
      </c>
      <c r="F15" s="60" t="e">
        <f>SUMIFS([49]mensuel_section_article1!$E$3:$E$962,[49]mensuel_section_article1!$B$3:$B$962,C15,[49]mensuel_section_article1!$C$3:$C$962,D15)</f>
        <v>#VALUE!</v>
      </c>
      <c r="G15" s="60" t="e">
        <f>SUMIFS([49]mensuel_section_article1!$G$3:$G$962,[49]mensuel_section_article1!$B$3:$B$962,C15,[49]mensuel_section_article1!$C$3:$C$962,D15)</f>
        <v>#VALUE!</v>
      </c>
      <c r="H15" s="60">
        <v>1099299.8799999999</v>
      </c>
      <c r="I15" s="60">
        <v>600009.87</v>
      </c>
      <c r="J15" s="60">
        <v>600000</v>
      </c>
      <c r="K15" s="60">
        <f t="shared" si="4"/>
        <v>499299.87999999989</v>
      </c>
      <c r="L15" s="61">
        <f t="shared" ref="L15:L27" si="6">+J15/H15</f>
        <v>0.54580193349971085</v>
      </c>
      <c r="M15" s="60"/>
      <c r="N15" s="24"/>
      <c r="O15" s="9"/>
      <c r="Q15" s="63"/>
      <c r="AJ15" s="64"/>
      <c r="AK15" s="64"/>
      <c r="AL15" s="64"/>
      <c r="AM15" s="64"/>
      <c r="AN15" s="64"/>
      <c r="AO15" s="11">
        <v>1111111</v>
      </c>
      <c r="AP15" s="65" t="str">
        <f t="shared" si="3"/>
        <v>11111117</v>
      </c>
    </row>
    <row r="16" spans="1:42" s="62" customFormat="1" ht="27.75" customHeight="1" thickTop="1" thickBot="1" x14ac:dyDescent="0.3">
      <c r="A16" s="56" t="s">
        <v>22</v>
      </c>
      <c r="B16" s="56" t="s">
        <v>22</v>
      </c>
      <c r="C16" s="57">
        <f t="shared" si="1"/>
        <v>1111111</v>
      </c>
      <c r="D16" s="58">
        <v>9</v>
      </c>
      <c r="E16" s="59" t="str">
        <f t="shared" si="2"/>
        <v>AUTRES DEPENSES PUBLIQUES</v>
      </c>
      <c r="F16" s="60" t="e">
        <f>SUMIFS([49]mensuel_section_article1!$E$3:$E$962,[49]mensuel_section_article1!$B$3:$B$962,C16,[49]mensuel_section_article1!$C$3:$C$962,D16)</f>
        <v>#VALUE!</v>
      </c>
      <c r="G16" s="60" t="e">
        <f>SUMIFS([49]mensuel_section_article1!$G$3:$G$962,[49]mensuel_section_article1!$B$3:$B$962,C16,[49]mensuel_section_article1!$C$3:$C$962,D16)</f>
        <v>#VALUE!</v>
      </c>
      <c r="H16" s="60">
        <v>39184995.99000001</v>
      </c>
      <c r="I16" s="60">
        <v>33540896</v>
      </c>
      <c r="J16" s="60">
        <v>33441313.600000001</v>
      </c>
      <c r="K16" s="60">
        <f t="shared" si="4"/>
        <v>5743682.390000008</v>
      </c>
      <c r="L16" s="61">
        <f t="shared" si="6"/>
        <v>0.85342138630138453</v>
      </c>
      <c r="M16" s="60"/>
      <c r="N16" s="24"/>
      <c r="O16" s="9"/>
      <c r="Q16" s="66"/>
      <c r="AJ16" s="64"/>
      <c r="AK16" s="64"/>
      <c r="AL16" s="64"/>
      <c r="AM16" s="64"/>
      <c r="AN16" s="64"/>
      <c r="AO16" s="11">
        <v>1111111</v>
      </c>
      <c r="AP16" s="65" t="str">
        <f t="shared" si="3"/>
        <v>11111119</v>
      </c>
    </row>
    <row r="17" spans="1:42" s="1" customFormat="1" ht="27.75" customHeight="1" thickTop="1" thickBot="1" x14ac:dyDescent="0.3">
      <c r="A17" s="50" t="s">
        <v>20</v>
      </c>
      <c r="B17" s="50" t="s">
        <v>20</v>
      </c>
      <c r="C17" s="50" t="s">
        <v>20</v>
      </c>
      <c r="D17" s="51">
        <v>1111112</v>
      </c>
      <c r="E17" s="67" t="s">
        <v>23</v>
      </c>
      <c r="F17" s="68" t="e">
        <f>SUMIF($B$18:$B$24,"article",F18:F24)</f>
        <v>#VALUE!</v>
      </c>
      <c r="G17" s="68" t="e">
        <f>SUMIF($B$18:$B$24,"article",G18:G24)</f>
        <v>#VALUE!</v>
      </c>
      <c r="H17" s="68">
        <f>SUMIF($B$18:$B$24,"article",H18:H24)</f>
        <v>833122187.07873499</v>
      </c>
      <c r="I17" s="68">
        <v>840617773.13</v>
      </c>
      <c r="J17" s="68">
        <f>SUMIF($B$18:$B$24,"article",J18:J24)</f>
        <v>810316575.51999998</v>
      </c>
      <c r="K17" s="68">
        <f>SUMIF($B$18:$B$24,"article",K18:K24)</f>
        <v>22805611.558734972</v>
      </c>
      <c r="L17" s="69">
        <f t="shared" si="6"/>
        <v>0.97262633031212298</v>
      </c>
      <c r="M17" s="68"/>
      <c r="N17" s="68"/>
      <c r="O17" s="9"/>
      <c r="Q17" s="23"/>
      <c r="AJ17" s="70"/>
      <c r="AK17" s="70"/>
      <c r="AL17" s="70"/>
      <c r="AM17" s="70"/>
      <c r="AN17" s="70"/>
      <c r="AO17" s="11">
        <v>1111112</v>
      </c>
    </row>
    <row r="18" spans="1:42" s="62" customFormat="1" ht="27.75" customHeight="1" thickTop="1" thickBot="1" x14ac:dyDescent="0.3">
      <c r="A18" s="56" t="s">
        <v>22</v>
      </c>
      <c r="B18" s="56" t="s">
        <v>22</v>
      </c>
      <c r="C18" s="57">
        <f t="shared" ref="C18:C24" si="7">IF(A17="SECTION",D17,C17)</f>
        <v>1111112</v>
      </c>
      <c r="D18" s="58">
        <v>1</v>
      </c>
      <c r="E18" s="59" t="str">
        <f t="shared" si="2"/>
        <v>DEPENSES DE PERSONNEL</v>
      </c>
      <c r="F18" s="60" t="e">
        <f>SUMIFS([49]mensuel_section_article1!$E$3:$E$962,[49]mensuel_section_article1!$B$3:$B$962,C18,[49]mensuel_section_article1!$C$3:$C$962,D18)</f>
        <v>#VALUE!</v>
      </c>
      <c r="G18" s="60" t="e">
        <f>SUMIFS([49]mensuel_section_article1!$G$3:$G$962,[49]mensuel_section_article1!$B$3:$B$962,C18,[49]mensuel_section_article1!$C$3:$C$962,D18)</f>
        <v>#VALUE!</v>
      </c>
      <c r="H18" s="60">
        <v>392061678.23999995</v>
      </c>
      <c r="I18" s="60">
        <v>377475522.26999992</v>
      </c>
      <c r="J18" s="60">
        <v>375562335.27999997</v>
      </c>
      <c r="K18" s="60">
        <f t="shared" ref="K18:K24" si="8">+H18-J18</f>
        <v>16499342.959999979</v>
      </c>
      <c r="L18" s="61">
        <f t="shared" si="6"/>
        <v>0.95791646091485649</v>
      </c>
      <c r="M18" s="60"/>
      <c r="N18" s="24"/>
      <c r="O18" s="9"/>
      <c r="Q18" s="63"/>
      <c r="AJ18" s="64"/>
      <c r="AK18" s="64"/>
      <c r="AL18" s="64"/>
      <c r="AM18" s="64"/>
      <c r="AN18" s="64"/>
      <c r="AO18" s="11">
        <v>1111112</v>
      </c>
      <c r="AP18" s="65" t="str">
        <f t="shared" ref="AP18:AP24" si="9">CONCATENATE(AO18,D18)</f>
        <v>11111121</v>
      </c>
    </row>
    <row r="19" spans="1:42" s="62" customFormat="1" ht="27.75" customHeight="1" thickTop="1" thickBot="1" x14ac:dyDescent="0.3">
      <c r="A19" s="56" t="s">
        <v>22</v>
      </c>
      <c r="B19" s="56" t="s">
        <v>22</v>
      </c>
      <c r="C19" s="57">
        <f t="shared" si="7"/>
        <v>1111112</v>
      </c>
      <c r="D19" s="58">
        <v>2</v>
      </c>
      <c r="E19" s="59" t="str">
        <f t="shared" si="2"/>
        <v>DEPENSES DE SERVICES ET CHARGES DIVERSES</v>
      </c>
      <c r="F19" s="60" t="e">
        <f>SUMIFS([49]mensuel_section_article1!$E$3:$E$962,[49]mensuel_section_article1!$B$3:$B$962,C19,[49]mensuel_section_article1!$C$3:$C$962,D19)</f>
        <v>#VALUE!</v>
      </c>
      <c r="G19" s="60" t="e">
        <f>SUMIFS([49]mensuel_section_article1!$G$3:$G$962,[49]mensuel_section_article1!$B$3:$B$962,C19,[49]mensuel_section_article1!$C$3:$C$962,D19)</f>
        <v>#VALUE!</v>
      </c>
      <c r="H19" s="60">
        <v>65483963.579999998</v>
      </c>
      <c r="I19" s="60">
        <v>71241315.629999995</v>
      </c>
      <c r="J19" s="60">
        <v>57211495.030000009</v>
      </c>
      <c r="K19" s="60">
        <f t="shared" si="8"/>
        <v>8272468.5499999896</v>
      </c>
      <c r="L19" s="61">
        <f t="shared" si="6"/>
        <v>0.87367184119981167</v>
      </c>
      <c r="M19" s="60"/>
      <c r="N19" s="24"/>
      <c r="O19" s="9"/>
      <c r="Q19" s="63"/>
      <c r="AJ19" s="64"/>
      <c r="AK19" s="64"/>
      <c r="AL19" s="64"/>
      <c r="AM19" s="64"/>
      <c r="AN19" s="64"/>
      <c r="AO19" s="11">
        <v>1111112</v>
      </c>
      <c r="AP19" s="65" t="str">
        <f t="shared" si="9"/>
        <v>11111122</v>
      </c>
    </row>
    <row r="20" spans="1:42" s="62" customFormat="1" ht="27.75" customHeight="1" thickTop="1" thickBot="1" x14ac:dyDescent="0.3">
      <c r="A20" s="56" t="s">
        <v>22</v>
      </c>
      <c r="B20" s="56" t="s">
        <v>22</v>
      </c>
      <c r="C20" s="57">
        <f t="shared" si="7"/>
        <v>1111112</v>
      </c>
      <c r="D20" s="58">
        <v>3</v>
      </c>
      <c r="E20" s="59" t="str">
        <f t="shared" si="2"/>
        <v>ACHATS DE BIENS DE CONSOMMATION ET PETITS MATERIELS</v>
      </c>
      <c r="F20" s="60" t="e">
        <f>SUMIFS([49]mensuel_section_article1!$E$3:$E$962,[49]mensuel_section_article1!$B$3:$B$962,C20,[49]mensuel_section_article1!$C$3:$C$962,D20)</f>
        <v>#VALUE!</v>
      </c>
      <c r="G20" s="60" t="e">
        <f>SUMIFS([49]mensuel_section_article1!$G$3:$G$962,[49]mensuel_section_article1!$B$3:$B$962,C20,[49]mensuel_section_article1!$C$3:$C$962,D20)</f>
        <v>#VALUE!</v>
      </c>
      <c r="H20" s="60">
        <v>53263029.449999996</v>
      </c>
      <c r="I20" s="60">
        <v>67668629.400000006</v>
      </c>
      <c r="J20" s="60">
        <v>57887615.730000004</v>
      </c>
      <c r="K20" s="60">
        <f t="shared" si="8"/>
        <v>-4624586.2800000086</v>
      </c>
      <c r="L20" s="61">
        <f t="shared" si="6"/>
        <v>1.0868254458628059</v>
      </c>
      <c r="M20" s="60"/>
      <c r="N20" s="24"/>
      <c r="O20" s="9"/>
      <c r="Q20" s="63"/>
      <c r="AJ20" s="64"/>
      <c r="AK20" s="64"/>
      <c r="AL20" s="64"/>
      <c r="AM20" s="64"/>
      <c r="AN20" s="64"/>
      <c r="AO20" s="11">
        <v>1111112</v>
      </c>
      <c r="AP20" s="65" t="str">
        <f t="shared" si="9"/>
        <v>11111123</v>
      </c>
    </row>
    <row r="21" spans="1:42" s="62" customFormat="1" ht="27.75" customHeight="1" thickTop="1" thickBot="1" x14ac:dyDescent="0.3">
      <c r="A21" s="56" t="s">
        <v>22</v>
      </c>
      <c r="B21" s="56" t="s">
        <v>22</v>
      </c>
      <c r="C21" s="57">
        <f t="shared" si="7"/>
        <v>1111112</v>
      </c>
      <c r="D21" s="58">
        <v>4</v>
      </c>
      <c r="E21" s="59" t="str">
        <f t="shared" si="2"/>
        <v>IMMOBILISATION CORPORELLE</v>
      </c>
      <c r="F21" s="60" t="e">
        <f>SUMIFS([49]mensuel_section_article1!$E$3:$E$962,[49]mensuel_section_article1!$B$3:$B$962,C21,[49]mensuel_section_article1!$C$3:$C$962,D21)</f>
        <v>#VALUE!</v>
      </c>
      <c r="G21" s="60" t="e">
        <f>SUMIFS([49]mensuel_section_article1!$G$3:$G$962,[49]mensuel_section_article1!$B$3:$B$962,C21,[49]mensuel_section_article1!$C$3:$C$962,D21)</f>
        <v>#VALUE!</v>
      </c>
      <c r="H21" s="60">
        <v>8113523.6462038513</v>
      </c>
      <c r="I21" s="60">
        <v>8113523.5999999996</v>
      </c>
      <c r="J21" s="60">
        <v>6316662.0499999998</v>
      </c>
      <c r="K21" s="60">
        <f t="shared" si="8"/>
        <v>1796861.5962038515</v>
      </c>
      <c r="L21" s="61">
        <f t="shared" si="6"/>
        <v>0.77853498990607295</v>
      </c>
      <c r="M21" s="60"/>
      <c r="N21" s="24"/>
      <c r="O21" s="9"/>
      <c r="Q21" s="63"/>
      <c r="AJ21" s="64"/>
      <c r="AK21" s="64"/>
      <c r="AL21" s="64"/>
      <c r="AM21" s="64"/>
      <c r="AN21" s="64"/>
      <c r="AO21" s="11">
        <v>1111112</v>
      </c>
      <c r="AP21" s="65" t="str">
        <f t="shared" si="9"/>
        <v>11111124</v>
      </c>
    </row>
    <row r="22" spans="1:42" s="62" customFormat="1" ht="27.75" customHeight="1" thickTop="1" thickBot="1" x14ac:dyDescent="0.3">
      <c r="A22" s="56" t="s">
        <v>22</v>
      </c>
      <c r="B22" s="56" t="s">
        <v>22</v>
      </c>
      <c r="C22" s="57">
        <f t="shared" si="7"/>
        <v>1111112</v>
      </c>
      <c r="D22" s="58">
        <v>5</v>
      </c>
      <c r="E22" s="59" t="str">
        <f t="shared" si="2"/>
        <v>IMMOBILISATION INCORPORELLE</v>
      </c>
      <c r="F22" s="60" t="e">
        <f>SUMIFS([49]mensuel_section_article1!$E$3:$E$962,[49]mensuel_section_article1!$B$3:$B$962,C22,[49]mensuel_section_article1!$C$3:$C$962,D22)</f>
        <v>#VALUE!</v>
      </c>
      <c r="G22" s="60" t="e">
        <f>SUMIFS([49]mensuel_section_article1!$G$3:$G$962,[49]mensuel_section_article1!$B$3:$B$962,C22,[49]mensuel_section_article1!$C$3:$C$962,D22)</f>
        <v>#VALUE!</v>
      </c>
      <c r="H22" s="60">
        <v>200000</v>
      </c>
      <c r="I22" s="60">
        <v>200000</v>
      </c>
      <c r="J22" s="60">
        <v>0</v>
      </c>
      <c r="K22" s="60">
        <f t="shared" si="8"/>
        <v>200000</v>
      </c>
      <c r="L22" s="61">
        <f t="shared" si="6"/>
        <v>0</v>
      </c>
      <c r="M22" s="60"/>
      <c r="N22" s="24"/>
      <c r="O22" s="9"/>
      <c r="Q22" s="63"/>
      <c r="AJ22" s="64"/>
      <c r="AK22" s="64"/>
      <c r="AL22" s="64"/>
      <c r="AM22" s="64"/>
      <c r="AN22" s="64"/>
      <c r="AO22" s="11">
        <v>1111112</v>
      </c>
      <c r="AP22" s="65" t="str">
        <f t="shared" si="9"/>
        <v>11111125</v>
      </c>
    </row>
    <row r="23" spans="1:42" s="62" customFormat="1" ht="27.75" customHeight="1" thickTop="1" thickBot="1" x14ac:dyDescent="0.3">
      <c r="A23" s="56" t="s">
        <v>22</v>
      </c>
      <c r="B23" s="56" t="s">
        <v>22</v>
      </c>
      <c r="C23" s="57">
        <f t="shared" si="7"/>
        <v>1111112</v>
      </c>
      <c r="D23" s="58">
        <v>7</v>
      </c>
      <c r="E23" s="59" t="str">
        <f t="shared" si="2"/>
        <v>SUBVENTIONS,QUOTES-PARTS ET CONTRIB.,ALLOC, INDEMNISATIONS</v>
      </c>
      <c r="F23" s="60" t="e">
        <f>SUMIFS([49]mensuel_section_article1!$E$3:$E$962,[49]mensuel_section_article1!$B$3:$B$962,C23,[49]mensuel_section_article1!$C$3:$C$962,D23)</f>
        <v>#VALUE!</v>
      </c>
      <c r="G23" s="60" t="e">
        <f>SUMIFS([49]mensuel_section_article1!$G$3:$G$962,[49]mensuel_section_article1!$B$3:$B$962,C23,[49]mensuel_section_article1!$C$3:$C$962,D23)</f>
        <v>#VALUE!</v>
      </c>
      <c r="H23" s="60">
        <v>167999992.16253117</v>
      </c>
      <c r="I23" s="60">
        <v>168499282.22999999</v>
      </c>
      <c r="J23" s="60">
        <v>165918967.43000001</v>
      </c>
      <c r="K23" s="60">
        <f t="shared" si="8"/>
        <v>2081024.7325311601</v>
      </c>
      <c r="L23" s="61">
        <f t="shared" si="6"/>
        <v>0.98761294744277206</v>
      </c>
      <c r="M23" s="60"/>
      <c r="N23" s="24"/>
      <c r="O23" s="9"/>
      <c r="Q23" s="63"/>
      <c r="AJ23" s="64"/>
      <c r="AK23" s="64"/>
      <c r="AL23" s="64"/>
      <c r="AM23" s="64"/>
      <c r="AN23" s="64"/>
      <c r="AO23" s="11">
        <v>1111112</v>
      </c>
      <c r="AP23" s="65" t="str">
        <f t="shared" si="9"/>
        <v>11111127</v>
      </c>
    </row>
    <row r="24" spans="1:42" s="62" customFormat="1" ht="27.75" customHeight="1" thickTop="1" thickBot="1" x14ac:dyDescent="0.3">
      <c r="A24" s="56" t="s">
        <v>22</v>
      </c>
      <c r="B24" s="56" t="s">
        <v>22</v>
      </c>
      <c r="C24" s="57">
        <f t="shared" si="7"/>
        <v>1111112</v>
      </c>
      <c r="D24" s="58">
        <v>9</v>
      </c>
      <c r="E24" s="59" t="str">
        <f t="shared" si="2"/>
        <v>AUTRES DEPENSES PUBLIQUES</v>
      </c>
      <c r="F24" s="60" t="e">
        <f>SUMIFS([49]mensuel_section_article1!$E$3:$E$962,[49]mensuel_section_article1!$B$3:$B$962,C24,[49]mensuel_section_article1!$C$3:$C$962,D24)</f>
        <v>#VALUE!</v>
      </c>
      <c r="G24" s="60" t="e">
        <f>SUMIFS([49]mensuel_section_article1!$G$3:$G$962,[49]mensuel_section_article1!$B$3:$B$962,C24,[49]mensuel_section_article1!$C$3:$C$962,D24)</f>
        <v>#VALUE!</v>
      </c>
      <c r="H24" s="60">
        <v>146000000</v>
      </c>
      <c r="I24" s="60">
        <v>147419500</v>
      </c>
      <c r="J24" s="60">
        <v>147419500</v>
      </c>
      <c r="K24" s="60">
        <f t="shared" si="8"/>
        <v>-1419500</v>
      </c>
      <c r="L24" s="61">
        <f t="shared" si="6"/>
        <v>1.0097226027397261</v>
      </c>
      <c r="M24" s="60"/>
      <c r="N24" s="24"/>
      <c r="O24" s="9"/>
      <c r="Q24" s="63"/>
      <c r="AJ24" s="64"/>
      <c r="AK24" s="64"/>
      <c r="AL24" s="64"/>
      <c r="AM24" s="64"/>
      <c r="AN24" s="64"/>
      <c r="AO24" s="11">
        <v>1111112</v>
      </c>
      <c r="AP24" s="65" t="str">
        <f t="shared" si="9"/>
        <v>11111129</v>
      </c>
    </row>
    <row r="25" spans="1:42" s="1" customFormat="1" ht="27.75" customHeight="1" thickTop="1" thickBot="1" x14ac:dyDescent="0.3">
      <c r="A25" s="50" t="s">
        <v>20</v>
      </c>
      <c r="B25" s="50" t="s">
        <v>20</v>
      </c>
      <c r="C25" s="50" t="s">
        <v>20</v>
      </c>
      <c r="D25" s="51">
        <v>1111113</v>
      </c>
      <c r="E25" s="67" t="s">
        <v>24</v>
      </c>
      <c r="F25" s="68" t="e">
        <f>SUMIF($B$26:$B$32,"article",F26:F32)</f>
        <v>#VALUE!</v>
      </c>
      <c r="G25" s="68" t="e">
        <f>SUMIF($B$26:$B$32,"article",G26:G32)</f>
        <v>#VALUE!</v>
      </c>
      <c r="H25" s="68">
        <f>SUMIF($B$26:$B$32,"article",H26:H32)</f>
        <v>71433444.680000007</v>
      </c>
      <c r="I25" s="68">
        <v>71433444.700000003</v>
      </c>
      <c r="J25" s="68">
        <f>SUMIF($B$26:$B$32,"article",J26:J32)</f>
        <v>64438748.209999993</v>
      </c>
      <c r="K25" s="68">
        <f>SUMIF($B$26:$B$32,"article",K26:K32)</f>
        <v>6994696.4700000025</v>
      </c>
      <c r="L25" s="69">
        <f t="shared" si="6"/>
        <v>0.90208092999946854</v>
      </c>
      <c r="M25" s="68"/>
      <c r="N25" s="68"/>
      <c r="O25" s="9"/>
      <c r="Q25" s="23"/>
      <c r="AK25" s="70"/>
      <c r="AL25" s="70"/>
      <c r="AM25" s="70"/>
      <c r="AN25" s="70"/>
      <c r="AO25" s="11">
        <v>1111113</v>
      </c>
    </row>
    <row r="26" spans="1:42" s="62" customFormat="1" ht="27.75" customHeight="1" thickTop="1" thickBot="1" x14ac:dyDescent="0.3">
      <c r="A26" s="56" t="s">
        <v>22</v>
      </c>
      <c r="B26" s="56" t="s">
        <v>22</v>
      </c>
      <c r="C26" s="57">
        <f t="shared" ref="C26:C32" si="10">IF(A25="SECTION",D25,C25)</f>
        <v>1111113</v>
      </c>
      <c r="D26" s="58">
        <v>1</v>
      </c>
      <c r="E26" s="59" t="str">
        <f t="shared" si="2"/>
        <v>DEPENSES DE PERSONNEL</v>
      </c>
      <c r="F26" s="60" t="e">
        <f>SUMIFS([49]mensuel_section_article1!$E$3:$E$962,[49]mensuel_section_article1!$B$3:$B$962,C26,[49]mensuel_section_article1!$C$3:$C$962,D26)</f>
        <v>#VALUE!</v>
      </c>
      <c r="G26" s="60" t="e">
        <f>SUMIFS([49]mensuel_section_article1!$G$3:$G$962,[49]mensuel_section_article1!$B$3:$B$962,C26,[49]mensuel_section_article1!$C$3:$C$962,D26)</f>
        <v>#VALUE!</v>
      </c>
      <c r="H26" s="60">
        <v>40065572.719999999</v>
      </c>
      <c r="I26" s="60">
        <v>40065572.700000003</v>
      </c>
      <c r="J26" s="60">
        <v>38282274.649999999</v>
      </c>
      <c r="K26" s="60">
        <f t="shared" ref="K26:K32" si="11">+H26-J26</f>
        <v>1783298.0700000003</v>
      </c>
      <c r="L26" s="61">
        <f t="shared" si="6"/>
        <v>0.95549051345246816</v>
      </c>
      <c r="M26" s="60"/>
      <c r="N26" s="24"/>
      <c r="O26" s="9"/>
      <c r="Q26" s="63"/>
      <c r="AK26" s="64"/>
      <c r="AL26" s="64"/>
      <c r="AM26" s="64"/>
      <c r="AN26" s="64"/>
      <c r="AO26" s="11">
        <v>1111113</v>
      </c>
      <c r="AP26" s="65" t="str">
        <f t="shared" ref="AP26:AP32" si="12">CONCATENATE(AO26,D26)</f>
        <v>11111131</v>
      </c>
    </row>
    <row r="27" spans="1:42" s="62" customFormat="1" ht="27.75" customHeight="1" thickTop="1" thickBot="1" x14ac:dyDescent="0.3">
      <c r="A27" s="56" t="s">
        <v>22</v>
      </c>
      <c r="B27" s="56" t="s">
        <v>22</v>
      </c>
      <c r="C27" s="57">
        <f t="shared" si="10"/>
        <v>1111113</v>
      </c>
      <c r="D27" s="58">
        <v>2</v>
      </c>
      <c r="E27" s="59" t="str">
        <f t="shared" si="2"/>
        <v>DEPENSES DE SERVICES ET CHARGES DIVERSES</v>
      </c>
      <c r="F27" s="60" t="e">
        <f>SUMIFS([49]mensuel_section_article1!$E$3:$E$962,[49]mensuel_section_article1!$B$3:$B$962,C27,[49]mensuel_section_article1!$C$3:$C$962,D27)</f>
        <v>#VALUE!</v>
      </c>
      <c r="G27" s="60" t="e">
        <f>SUMIFS([49]mensuel_section_article1!$G$3:$G$962,[49]mensuel_section_article1!$B$3:$B$962,C27,[49]mensuel_section_article1!$C$3:$C$962,D27)</f>
        <v>#VALUE!</v>
      </c>
      <c r="H27" s="60">
        <v>31367871.960000001</v>
      </c>
      <c r="I27" s="60">
        <v>31367872</v>
      </c>
      <c r="J27" s="60">
        <v>26156473.559999999</v>
      </c>
      <c r="K27" s="60">
        <f t="shared" si="11"/>
        <v>5211398.4000000022</v>
      </c>
      <c r="L27" s="61">
        <f t="shared" si="6"/>
        <v>0.8338619079214068</v>
      </c>
      <c r="M27" s="60"/>
      <c r="N27" s="24"/>
      <c r="O27" s="9"/>
      <c r="Q27" s="63"/>
      <c r="AK27" s="64"/>
      <c r="AL27" s="64"/>
      <c r="AM27" s="64"/>
      <c r="AN27" s="64"/>
      <c r="AO27" s="11">
        <v>1111113</v>
      </c>
      <c r="AP27" s="65" t="str">
        <f t="shared" si="12"/>
        <v>11111132</v>
      </c>
    </row>
    <row r="28" spans="1:42" s="62" customFormat="1" ht="27.75" hidden="1" customHeight="1" thickTop="1" thickBot="1" x14ac:dyDescent="0.3">
      <c r="A28" s="56" t="s">
        <v>22</v>
      </c>
      <c r="B28" s="56" t="s">
        <v>22</v>
      </c>
      <c r="C28" s="57">
        <f t="shared" si="10"/>
        <v>1111113</v>
      </c>
      <c r="D28" s="58">
        <v>3</v>
      </c>
      <c r="E28" s="59" t="str">
        <f t="shared" si="2"/>
        <v>ACHATS DE BIENS DE CONSOMMATION ET PETITS MATERIELS</v>
      </c>
      <c r="F28" s="60" t="e">
        <f>SUMIFS([49]mensuel_section_article1!$E$3:$E$962,[49]mensuel_section_article1!$B$3:$B$962,C28,[49]mensuel_section_article1!$C$3:$C$962,D28)</f>
        <v>#VALUE!</v>
      </c>
      <c r="G28" s="60" t="e">
        <f>SUMIFS([49]mensuel_section_article1!$G$3:$G$962,[49]mensuel_section_article1!$B$3:$B$962,C28,[49]mensuel_section_article1!$C$3:$C$962,D28)</f>
        <v>#VALUE!</v>
      </c>
      <c r="H28" s="60">
        <v>0</v>
      </c>
      <c r="I28" s="60">
        <v>0</v>
      </c>
      <c r="J28" s="60">
        <v>0</v>
      </c>
      <c r="K28" s="60">
        <f t="shared" si="11"/>
        <v>0</v>
      </c>
      <c r="L28" s="61" t="e">
        <f>IF(F28&lt;&gt;0,K28/F28,0)</f>
        <v>#VALUE!</v>
      </c>
      <c r="M28" s="60" t="e">
        <f>+SUMIFS([51]section_article!$H$10:$H$936,[51]section_article!$C$10:$C$936,C28,[51]section_article!$D$10:$D$936,D28)</f>
        <v>#VALUE!</v>
      </c>
      <c r="N28" s="24" t="e">
        <f t="shared" ref="N26:N32" si="13">+J28-M28</f>
        <v>#VALUE!</v>
      </c>
      <c r="O28" s="9"/>
      <c r="Q28" s="63"/>
      <c r="AK28" s="64"/>
      <c r="AL28" s="64"/>
      <c r="AM28" s="64"/>
      <c r="AN28" s="64"/>
      <c r="AO28" s="11">
        <v>1111113</v>
      </c>
      <c r="AP28" s="65" t="str">
        <f t="shared" si="12"/>
        <v>11111133</v>
      </c>
    </row>
    <row r="29" spans="1:42" s="62" customFormat="1" ht="27.75" hidden="1" customHeight="1" thickTop="1" thickBot="1" x14ac:dyDescent="0.3">
      <c r="A29" s="56" t="s">
        <v>22</v>
      </c>
      <c r="B29" s="56" t="s">
        <v>22</v>
      </c>
      <c r="C29" s="57">
        <f t="shared" si="10"/>
        <v>1111113</v>
      </c>
      <c r="D29" s="58">
        <v>4</v>
      </c>
      <c r="E29" s="59" t="str">
        <f t="shared" si="2"/>
        <v>IMMOBILISATION CORPORELLE</v>
      </c>
      <c r="F29" s="60" t="e">
        <f>SUMIFS([49]mensuel_section_article1!$E$3:$E$962,[49]mensuel_section_article1!$B$3:$B$962,C29,[49]mensuel_section_article1!$C$3:$C$962,D29)</f>
        <v>#VALUE!</v>
      </c>
      <c r="G29" s="60" t="e">
        <f>SUMIFS([49]mensuel_section_article1!$G$3:$G$962,[49]mensuel_section_article1!$B$3:$B$962,C29,[49]mensuel_section_article1!$C$3:$C$962,D29)</f>
        <v>#VALUE!</v>
      </c>
      <c r="H29" s="60">
        <v>0</v>
      </c>
      <c r="I29" s="60">
        <v>0</v>
      </c>
      <c r="J29" s="60">
        <v>0</v>
      </c>
      <c r="K29" s="60">
        <f t="shared" si="11"/>
        <v>0</v>
      </c>
      <c r="L29" s="61" t="e">
        <f>IF(F29&lt;&gt;0,K29/F29,0)</f>
        <v>#VALUE!</v>
      </c>
      <c r="M29" s="60" t="e">
        <f>+SUMIFS([51]section_article!$H$10:$H$936,[51]section_article!$C$10:$C$936,C29,[51]section_article!$D$10:$D$936,D29)</f>
        <v>#VALUE!</v>
      </c>
      <c r="N29" s="24" t="e">
        <f t="shared" si="13"/>
        <v>#VALUE!</v>
      </c>
      <c r="O29" s="9"/>
      <c r="Q29" s="63"/>
      <c r="AK29" s="64"/>
      <c r="AL29" s="64"/>
      <c r="AM29" s="64"/>
      <c r="AN29" s="64"/>
      <c r="AO29" s="11">
        <v>1111113</v>
      </c>
      <c r="AP29" s="65" t="str">
        <f t="shared" si="12"/>
        <v>11111134</v>
      </c>
    </row>
    <row r="30" spans="1:42" s="62" customFormat="1" ht="27.75" hidden="1" customHeight="1" thickTop="1" thickBot="1" x14ac:dyDescent="0.3">
      <c r="A30" s="56" t="s">
        <v>22</v>
      </c>
      <c r="B30" s="56" t="s">
        <v>22</v>
      </c>
      <c r="C30" s="57">
        <f t="shared" si="10"/>
        <v>1111113</v>
      </c>
      <c r="D30" s="58">
        <v>5</v>
      </c>
      <c r="E30" s="59" t="str">
        <f t="shared" si="2"/>
        <v>IMMOBILISATION INCORPORELLE</v>
      </c>
      <c r="F30" s="60" t="e">
        <f>SUMIFS([49]mensuel_section_article1!$E$3:$E$962,[49]mensuel_section_article1!$B$3:$B$962,C30,[49]mensuel_section_article1!$C$3:$C$962,D30)</f>
        <v>#VALUE!</v>
      </c>
      <c r="G30" s="60" t="e">
        <f>SUMIFS([49]mensuel_section_article1!$G$3:$G$962,[49]mensuel_section_article1!$B$3:$B$962,C30,[49]mensuel_section_article1!$C$3:$C$962,D30)</f>
        <v>#VALUE!</v>
      </c>
      <c r="H30" s="60">
        <v>0</v>
      </c>
      <c r="I30" s="60">
        <v>0</v>
      </c>
      <c r="J30" s="60">
        <v>0</v>
      </c>
      <c r="K30" s="60">
        <f t="shared" si="11"/>
        <v>0</v>
      </c>
      <c r="L30" s="61" t="e">
        <f>IF(F30&lt;&gt;0,K30/F30,0)</f>
        <v>#VALUE!</v>
      </c>
      <c r="M30" s="60" t="e">
        <f>+SUMIFS([51]section_article!$H$10:$H$936,[51]section_article!$C$10:$C$936,C30,[51]section_article!$D$10:$D$936,D30)</f>
        <v>#VALUE!</v>
      </c>
      <c r="N30" s="24" t="e">
        <f t="shared" si="13"/>
        <v>#VALUE!</v>
      </c>
      <c r="O30" s="9"/>
      <c r="Q30" s="63"/>
      <c r="AK30" s="64"/>
      <c r="AL30" s="64"/>
      <c r="AM30" s="64"/>
      <c r="AN30" s="64"/>
      <c r="AO30" s="11">
        <v>1111113</v>
      </c>
      <c r="AP30" s="65" t="str">
        <f t="shared" si="12"/>
        <v>11111135</v>
      </c>
    </row>
    <row r="31" spans="1:42" s="62" customFormat="1" ht="27.75" hidden="1" customHeight="1" thickTop="1" thickBot="1" x14ac:dyDescent="0.3">
      <c r="A31" s="56" t="s">
        <v>22</v>
      </c>
      <c r="B31" s="56" t="s">
        <v>22</v>
      </c>
      <c r="C31" s="57">
        <f t="shared" si="10"/>
        <v>1111113</v>
      </c>
      <c r="D31" s="58">
        <v>7</v>
      </c>
      <c r="E31" s="59" t="str">
        <f t="shared" si="2"/>
        <v>SUBVENTIONS,QUOTES-PARTS ET CONTRIB.,ALLOC, INDEMNISATIONS</v>
      </c>
      <c r="F31" s="60" t="e">
        <f>SUMIFS([49]mensuel_section_article1!$E$3:$E$962,[49]mensuel_section_article1!$B$3:$B$962,C31,[49]mensuel_section_article1!$C$3:$C$962,D31)</f>
        <v>#VALUE!</v>
      </c>
      <c r="G31" s="60" t="e">
        <f>SUMIFS([49]mensuel_section_article1!$G$3:$G$962,[49]mensuel_section_article1!$B$3:$B$962,C31,[49]mensuel_section_article1!$C$3:$C$962,D31)</f>
        <v>#VALUE!</v>
      </c>
      <c r="H31" s="60">
        <v>0</v>
      </c>
      <c r="I31" s="60">
        <v>0</v>
      </c>
      <c r="J31" s="60">
        <v>0</v>
      </c>
      <c r="K31" s="60">
        <f t="shared" si="11"/>
        <v>0</v>
      </c>
      <c r="L31" s="61" t="e">
        <f>IF(F31&lt;&gt;0,K31/F31,0)</f>
        <v>#VALUE!</v>
      </c>
      <c r="M31" s="60" t="e">
        <f>+SUMIFS([51]section_article!$H$10:$H$936,[51]section_article!$C$10:$C$936,C31,[51]section_article!$D$10:$D$936,D31)</f>
        <v>#VALUE!</v>
      </c>
      <c r="N31" s="24" t="e">
        <f t="shared" si="13"/>
        <v>#VALUE!</v>
      </c>
      <c r="O31" s="9"/>
      <c r="Q31" s="63"/>
      <c r="AK31" s="64"/>
      <c r="AL31" s="64"/>
      <c r="AM31" s="64"/>
      <c r="AN31" s="64"/>
      <c r="AO31" s="11">
        <v>1111113</v>
      </c>
      <c r="AP31" s="65" t="str">
        <f t="shared" si="12"/>
        <v>11111137</v>
      </c>
    </row>
    <row r="32" spans="1:42" s="62" customFormat="1" ht="27.75" hidden="1" customHeight="1" thickTop="1" thickBot="1" x14ac:dyDescent="0.3">
      <c r="A32" s="56" t="s">
        <v>22</v>
      </c>
      <c r="B32" s="56" t="s">
        <v>22</v>
      </c>
      <c r="C32" s="57">
        <f t="shared" si="10"/>
        <v>1111113</v>
      </c>
      <c r="D32" s="58">
        <v>9</v>
      </c>
      <c r="E32" s="59" t="str">
        <f t="shared" si="2"/>
        <v>AUTRES DEPENSES PUBLIQUES</v>
      </c>
      <c r="F32" s="60" t="e">
        <f>SUMIFS([49]mensuel_section_article1!$E$3:$E$962,[49]mensuel_section_article1!$B$3:$B$962,C32,[49]mensuel_section_article1!$C$3:$C$962,D32)</f>
        <v>#VALUE!</v>
      </c>
      <c r="G32" s="60" t="e">
        <f>SUMIFS([49]mensuel_section_article1!$G$3:$G$962,[49]mensuel_section_article1!$B$3:$B$962,C32,[49]mensuel_section_article1!$C$3:$C$962,D32)</f>
        <v>#VALUE!</v>
      </c>
      <c r="H32" s="60">
        <v>0</v>
      </c>
      <c r="I32" s="60">
        <v>0</v>
      </c>
      <c r="J32" s="60">
        <v>0</v>
      </c>
      <c r="K32" s="60">
        <f t="shared" si="11"/>
        <v>0</v>
      </c>
      <c r="L32" s="61" t="e">
        <f>IF(F32&lt;&gt;0,K32/F32,0)</f>
        <v>#VALUE!</v>
      </c>
      <c r="M32" s="60" t="e">
        <f>+SUMIFS([51]section_article!$H$10:$H$936,[51]section_article!$C$10:$C$936,C32,[51]section_article!$D$10:$D$936,D32)</f>
        <v>#VALUE!</v>
      </c>
      <c r="N32" s="24" t="e">
        <f t="shared" si="13"/>
        <v>#VALUE!</v>
      </c>
      <c r="O32" s="9"/>
      <c r="Q32" s="63"/>
      <c r="AK32" s="64"/>
      <c r="AL32" s="64"/>
      <c r="AM32" s="64"/>
      <c r="AN32" s="64"/>
      <c r="AO32" s="11">
        <v>1111113</v>
      </c>
      <c r="AP32" s="65" t="str">
        <f t="shared" si="12"/>
        <v>11111139</v>
      </c>
    </row>
    <row r="33" spans="1:42" s="1" customFormat="1" ht="27.75" customHeight="1" thickTop="1" thickBot="1" x14ac:dyDescent="0.3">
      <c r="A33" s="71" t="s">
        <v>20</v>
      </c>
      <c r="B33" s="71" t="s">
        <v>20</v>
      </c>
      <c r="C33" s="71" t="s">
        <v>20</v>
      </c>
      <c r="D33" s="51">
        <v>1111114</v>
      </c>
      <c r="E33" s="67" t="s">
        <v>25</v>
      </c>
      <c r="F33" s="68" t="e">
        <f>SUMIF($B$34:$B$40,"article",F34:F40)</f>
        <v>#VALUE!</v>
      </c>
      <c r="G33" s="68" t="e">
        <f>SUMIF($B$34:$B$40,"article",G34:G40)</f>
        <v>#VALUE!</v>
      </c>
      <c r="H33" s="68">
        <f>SUMIF($B$34:$B$40,"article",H34:H40)</f>
        <v>30821789.469999999</v>
      </c>
      <c r="I33" s="68">
        <v>30821789.5</v>
      </c>
      <c r="J33" s="68">
        <f>SUMIF($B$34:$B$40,"article",J34:J40)</f>
        <v>29957389.989999998</v>
      </c>
      <c r="K33" s="68">
        <f>SUMIF($B$34:$B$40,"article",K34:K40)</f>
        <v>864399.48000000045</v>
      </c>
      <c r="L33" s="69">
        <f>+J33/H33</f>
        <v>0.97195492231749381</v>
      </c>
      <c r="M33" s="68"/>
      <c r="N33" s="68"/>
      <c r="O33" s="9"/>
      <c r="Q33" s="23"/>
      <c r="AK33" s="70"/>
      <c r="AL33" s="70"/>
      <c r="AM33" s="70"/>
      <c r="AN33" s="70"/>
      <c r="AO33" s="11">
        <v>1111114</v>
      </c>
    </row>
    <row r="34" spans="1:42" s="62" customFormat="1" ht="27.75" customHeight="1" thickTop="1" thickBot="1" x14ac:dyDescent="0.3">
      <c r="A34" s="56" t="s">
        <v>22</v>
      </c>
      <c r="B34" s="56" t="s">
        <v>22</v>
      </c>
      <c r="C34" s="57">
        <f t="shared" ref="C34:C40" si="14">IF(A33="SECTION",D33,C33)</f>
        <v>1111114</v>
      </c>
      <c r="D34" s="58">
        <v>1</v>
      </c>
      <c r="E34" s="59" t="str">
        <f t="shared" si="2"/>
        <v>DEPENSES DE PERSONNEL</v>
      </c>
      <c r="F34" s="60" t="e">
        <f>SUMIFS([49]mensuel_section_article1!$E$3:$E$962,[49]mensuel_section_article1!$B$3:$B$962,C34,[49]mensuel_section_article1!$C$3:$C$962,D34)</f>
        <v>#VALUE!</v>
      </c>
      <c r="G34" s="60" t="e">
        <f>SUMIFS([49]mensuel_section_article1!$G$3:$G$962,[49]mensuel_section_article1!$B$3:$B$962,C34,[49]mensuel_section_article1!$C$3:$C$962,D34)</f>
        <v>#VALUE!</v>
      </c>
      <c r="H34" s="60">
        <v>20036352.469999999</v>
      </c>
      <c r="I34" s="60">
        <v>20036352.5</v>
      </c>
      <c r="J34" s="60">
        <v>19178343.289999999</v>
      </c>
      <c r="K34" s="60">
        <f t="shared" ref="K34:K40" si="15">+H34-J34</f>
        <v>858009.1799999997</v>
      </c>
      <c r="L34" s="61">
        <f>+J34/H34</f>
        <v>0.95717737640697431</v>
      </c>
      <c r="M34" s="60"/>
      <c r="N34" s="24"/>
      <c r="O34" s="9"/>
      <c r="Q34" s="63"/>
      <c r="AK34" s="64"/>
      <c r="AL34" s="64"/>
      <c r="AM34" s="64"/>
      <c r="AN34" s="64"/>
      <c r="AO34" s="11">
        <v>1111114</v>
      </c>
      <c r="AP34" s="65" t="str">
        <f t="shared" ref="AP34:AP40" si="16">CONCATENATE(AO34,D34)</f>
        <v>11111141</v>
      </c>
    </row>
    <row r="35" spans="1:42" s="62" customFormat="1" ht="27.75" customHeight="1" thickTop="1" thickBot="1" x14ac:dyDescent="0.3">
      <c r="A35" s="56" t="s">
        <v>22</v>
      </c>
      <c r="B35" s="56" t="s">
        <v>22</v>
      </c>
      <c r="C35" s="57">
        <f t="shared" si="14"/>
        <v>1111114</v>
      </c>
      <c r="D35" s="58">
        <v>2</v>
      </c>
      <c r="E35" s="59" t="str">
        <f t="shared" si="2"/>
        <v>DEPENSES DE SERVICES ET CHARGES DIVERSES</v>
      </c>
      <c r="F35" s="60" t="e">
        <f>SUMIFS([49]mensuel_section_article1!$E$3:$E$962,[49]mensuel_section_article1!$B$3:$B$962,C35,[49]mensuel_section_article1!$C$3:$C$962,D35)</f>
        <v>#VALUE!</v>
      </c>
      <c r="G35" s="60" t="e">
        <f>SUMIFS([49]mensuel_section_article1!$G$3:$G$962,[49]mensuel_section_article1!$B$3:$B$962,C35,[49]mensuel_section_article1!$C$3:$C$962,D35)</f>
        <v>#VALUE!</v>
      </c>
      <c r="H35" s="60">
        <v>10785437</v>
      </c>
      <c r="I35" s="60">
        <v>10785437</v>
      </c>
      <c r="J35" s="60">
        <v>10779046.699999999</v>
      </c>
      <c r="K35" s="60">
        <f t="shared" si="15"/>
        <v>6390.3000000007451</v>
      </c>
      <c r="L35" s="61">
        <f>+J35/H35</f>
        <v>0.99940750662212385</v>
      </c>
      <c r="M35" s="60"/>
      <c r="N35" s="24"/>
      <c r="O35" s="9"/>
      <c r="Q35" s="63"/>
      <c r="AK35" s="64"/>
      <c r="AL35" s="64"/>
      <c r="AM35" s="64"/>
      <c r="AN35" s="64"/>
      <c r="AO35" s="11">
        <v>1111114</v>
      </c>
      <c r="AP35" s="65" t="str">
        <f t="shared" si="16"/>
        <v>11111142</v>
      </c>
    </row>
    <row r="36" spans="1:42" s="62" customFormat="1" ht="27.75" hidden="1" customHeight="1" thickTop="1" thickBot="1" x14ac:dyDescent="0.3">
      <c r="A36" s="56" t="s">
        <v>22</v>
      </c>
      <c r="B36" s="56" t="s">
        <v>22</v>
      </c>
      <c r="C36" s="57">
        <f t="shared" si="14"/>
        <v>1111114</v>
      </c>
      <c r="D36" s="58">
        <v>3</v>
      </c>
      <c r="E36" s="59" t="str">
        <f t="shared" si="2"/>
        <v>ACHATS DE BIENS DE CONSOMMATION ET PETITS MATERIELS</v>
      </c>
      <c r="F36" s="60" t="e">
        <f>SUMIFS([49]mensuel_section_article1!$E$3:$E$962,[49]mensuel_section_article1!$B$3:$B$962,C36,[49]mensuel_section_article1!$C$3:$C$962,D36)</f>
        <v>#VALUE!</v>
      </c>
      <c r="G36" s="60" t="e">
        <f>SUMIFS([49]mensuel_section_article1!$G$3:$G$962,[49]mensuel_section_article1!$B$3:$B$962,C36,[49]mensuel_section_article1!$C$3:$C$962,D36)</f>
        <v>#VALUE!</v>
      </c>
      <c r="H36" s="60">
        <v>0</v>
      </c>
      <c r="I36" s="60">
        <v>0</v>
      </c>
      <c r="J36" s="60">
        <v>0</v>
      </c>
      <c r="K36" s="60">
        <f t="shared" si="15"/>
        <v>0</v>
      </c>
      <c r="L36" s="61" t="e">
        <f>IF(F36&lt;&gt;0,K36/F36,0)</f>
        <v>#VALUE!</v>
      </c>
      <c r="M36" s="60" t="e">
        <f>+SUMIFS([51]section_article!$H$10:$H$936,[51]section_article!$C$10:$C$936,C36,[51]section_article!$D$10:$D$936,D36)</f>
        <v>#VALUE!</v>
      </c>
      <c r="N36" s="24" t="e">
        <f t="shared" ref="N34:N40" si="17">+J36-M36</f>
        <v>#VALUE!</v>
      </c>
      <c r="O36" s="9"/>
      <c r="Q36" s="63"/>
      <c r="AK36" s="64"/>
      <c r="AL36" s="64"/>
      <c r="AM36" s="64"/>
      <c r="AN36" s="64"/>
      <c r="AO36" s="11">
        <v>1111114</v>
      </c>
      <c r="AP36" s="65" t="str">
        <f t="shared" si="16"/>
        <v>11111143</v>
      </c>
    </row>
    <row r="37" spans="1:42" s="62" customFormat="1" ht="27.75" hidden="1" customHeight="1" thickTop="1" thickBot="1" x14ac:dyDescent="0.3">
      <c r="A37" s="56" t="s">
        <v>22</v>
      </c>
      <c r="B37" s="56" t="s">
        <v>22</v>
      </c>
      <c r="C37" s="57">
        <f t="shared" si="14"/>
        <v>1111114</v>
      </c>
      <c r="D37" s="58">
        <v>4</v>
      </c>
      <c r="E37" s="59" t="str">
        <f t="shared" si="2"/>
        <v>IMMOBILISATION CORPORELLE</v>
      </c>
      <c r="F37" s="60" t="e">
        <f>SUMIFS([49]mensuel_section_article1!$E$3:$E$962,[49]mensuel_section_article1!$B$3:$B$962,C37,[49]mensuel_section_article1!$C$3:$C$962,D37)</f>
        <v>#VALUE!</v>
      </c>
      <c r="G37" s="60" t="e">
        <f>SUMIFS([49]mensuel_section_article1!$G$3:$G$962,[49]mensuel_section_article1!$B$3:$B$962,C37,[49]mensuel_section_article1!$C$3:$C$962,D37)</f>
        <v>#VALUE!</v>
      </c>
      <c r="H37" s="60">
        <v>0</v>
      </c>
      <c r="I37" s="60">
        <v>0</v>
      </c>
      <c r="J37" s="60">
        <v>0</v>
      </c>
      <c r="K37" s="60">
        <f t="shared" si="15"/>
        <v>0</v>
      </c>
      <c r="L37" s="61" t="e">
        <f>IF(F37&lt;&gt;0,K37/F37,0)</f>
        <v>#VALUE!</v>
      </c>
      <c r="M37" s="60" t="e">
        <f>+SUMIFS([51]section_article!$H$10:$H$936,[51]section_article!$C$10:$C$936,C37,[51]section_article!$D$10:$D$936,D37)</f>
        <v>#VALUE!</v>
      </c>
      <c r="N37" s="24" t="e">
        <f t="shared" si="17"/>
        <v>#VALUE!</v>
      </c>
      <c r="O37" s="9"/>
      <c r="Q37" s="63"/>
      <c r="AK37" s="64"/>
      <c r="AL37" s="64"/>
      <c r="AM37" s="64"/>
      <c r="AN37" s="64"/>
      <c r="AO37" s="11">
        <v>1111114</v>
      </c>
      <c r="AP37" s="65" t="str">
        <f t="shared" si="16"/>
        <v>11111144</v>
      </c>
    </row>
    <row r="38" spans="1:42" s="62" customFormat="1" ht="27.75" hidden="1" customHeight="1" thickTop="1" thickBot="1" x14ac:dyDescent="0.3">
      <c r="A38" s="56" t="s">
        <v>22</v>
      </c>
      <c r="B38" s="56" t="s">
        <v>22</v>
      </c>
      <c r="C38" s="57">
        <f t="shared" si="14"/>
        <v>1111114</v>
      </c>
      <c r="D38" s="58">
        <v>5</v>
      </c>
      <c r="E38" s="59" t="str">
        <f t="shared" si="2"/>
        <v>IMMOBILISATION INCORPORELLE</v>
      </c>
      <c r="F38" s="60" t="e">
        <f>SUMIFS([49]mensuel_section_article1!$E$3:$E$962,[49]mensuel_section_article1!$B$3:$B$962,C38,[49]mensuel_section_article1!$C$3:$C$962,D38)</f>
        <v>#VALUE!</v>
      </c>
      <c r="G38" s="60" t="e">
        <f>SUMIFS([49]mensuel_section_article1!$G$3:$G$962,[49]mensuel_section_article1!$B$3:$B$962,C38,[49]mensuel_section_article1!$C$3:$C$962,D38)</f>
        <v>#VALUE!</v>
      </c>
      <c r="H38" s="60">
        <v>0</v>
      </c>
      <c r="I38" s="60">
        <v>0</v>
      </c>
      <c r="J38" s="60">
        <v>0</v>
      </c>
      <c r="K38" s="60">
        <f t="shared" si="15"/>
        <v>0</v>
      </c>
      <c r="L38" s="61" t="e">
        <f>IF(F38&lt;&gt;0,K38/F38,0)</f>
        <v>#VALUE!</v>
      </c>
      <c r="M38" s="60" t="e">
        <f>+SUMIFS([51]section_article!$H$10:$H$936,[51]section_article!$C$10:$C$936,C38,[51]section_article!$D$10:$D$936,D38)</f>
        <v>#VALUE!</v>
      </c>
      <c r="N38" s="24" t="e">
        <f t="shared" si="17"/>
        <v>#VALUE!</v>
      </c>
      <c r="O38" s="9"/>
      <c r="Q38" s="63"/>
      <c r="AK38" s="64"/>
      <c r="AL38" s="64"/>
      <c r="AM38" s="64"/>
      <c r="AN38" s="64"/>
      <c r="AO38" s="11">
        <v>1111114</v>
      </c>
      <c r="AP38" s="65" t="str">
        <f t="shared" si="16"/>
        <v>11111145</v>
      </c>
    </row>
    <row r="39" spans="1:42" s="62" customFormat="1" ht="27.75" hidden="1" customHeight="1" thickTop="1" thickBot="1" x14ac:dyDescent="0.3">
      <c r="A39" s="56" t="s">
        <v>22</v>
      </c>
      <c r="B39" s="56" t="s">
        <v>22</v>
      </c>
      <c r="C39" s="57">
        <f t="shared" si="14"/>
        <v>1111114</v>
      </c>
      <c r="D39" s="58">
        <v>7</v>
      </c>
      <c r="E39" s="59" t="str">
        <f t="shared" si="2"/>
        <v>SUBVENTIONS,QUOTES-PARTS ET CONTRIB.,ALLOC, INDEMNISATIONS</v>
      </c>
      <c r="F39" s="60" t="e">
        <f>SUMIFS([49]mensuel_section_article1!$E$3:$E$962,[49]mensuel_section_article1!$B$3:$B$962,C39,[49]mensuel_section_article1!$C$3:$C$962,D39)</f>
        <v>#VALUE!</v>
      </c>
      <c r="G39" s="60" t="e">
        <f>SUMIFS([49]mensuel_section_article1!$G$3:$G$962,[49]mensuel_section_article1!$B$3:$B$962,C39,[49]mensuel_section_article1!$C$3:$C$962,D39)</f>
        <v>#VALUE!</v>
      </c>
      <c r="H39" s="60">
        <v>0</v>
      </c>
      <c r="I39" s="60">
        <v>0</v>
      </c>
      <c r="J39" s="60">
        <v>0</v>
      </c>
      <c r="K39" s="60">
        <f t="shared" si="15"/>
        <v>0</v>
      </c>
      <c r="L39" s="61" t="e">
        <f>IF(F39&lt;&gt;0,K39/F39,0)</f>
        <v>#VALUE!</v>
      </c>
      <c r="M39" s="60" t="e">
        <f>+SUMIFS([51]section_article!$H$10:$H$936,[51]section_article!$C$10:$C$936,C39,[51]section_article!$D$10:$D$936,D39)</f>
        <v>#VALUE!</v>
      </c>
      <c r="N39" s="24" t="e">
        <f t="shared" si="17"/>
        <v>#VALUE!</v>
      </c>
      <c r="O39" s="9"/>
      <c r="Q39" s="63"/>
      <c r="AK39" s="64"/>
      <c r="AL39" s="64"/>
      <c r="AM39" s="64"/>
      <c r="AN39" s="64"/>
      <c r="AO39" s="11">
        <v>1111114</v>
      </c>
      <c r="AP39" s="65" t="str">
        <f t="shared" si="16"/>
        <v>11111147</v>
      </c>
    </row>
    <row r="40" spans="1:42" s="62" customFormat="1" ht="27.75" hidden="1" customHeight="1" thickTop="1" thickBot="1" x14ac:dyDescent="0.3">
      <c r="A40" s="56" t="s">
        <v>22</v>
      </c>
      <c r="B40" s="56" t="s">
        <v>22</v>
      </c>
      <c r="C40" s="57">
        <f t="shared" si="14"/>
        <v>1111114</v>
      </c>
      <c r="D40" s="58">
        <v>9</v>
      </c>
      <c r="E40" s="59" t="str">
        <f t="shared" si="2"/>
        <v>AUTRES DEPENSES PUBLIQUES</v>
      </c>
      <c r="F40" s="60" t="e">
        <f>SUMIFS([49]mensuel_section_article1!$E$3:$E$962,[49]mensuel_section_article1!$B$3:$B$962,C40,[49]mensuel_section_article1!$C$3:$C$962,D40)</f>
        <v>#VALUE!</v>
      </c>
      <c r="G40" s="60" t="e">
        <f>SUMIFS([49]mensuel_section_article1!$G$3:$G$962,[49]mensuel_section_article1!$B$3:$B$962,C40,[49]mensuel_section_article1!$C$3:$C$962,D40)</f>
        <v>#VALUE!</v>
      </c>
      <c r="H40" s="60">
        <v>0</v>
      </c>
      <c r="I40" s="60">
        <v>0</v>
      </c>
      <c r="J40" s="60">
        <v>0</v>
      </c>
      <c r="K40" s="60">
        <f t="shared" si="15"/>
        <v>0</v>
      </c>
      <c r="L40" s="61" t="e">
        <f>IF(F40&lt;&gt;0,K40/F40,0)</f>
        <v>#VALUE!</v>
      </c>
      <c r="M40" s="60" t="e">
        <f>+SUMIFS([51]section_article!$H$10:$H$936,[51]section_article!$C$10:$C$936,C40,[51]section_article!$D$10:$D$936,D40)</f>
        <v>#VALUE!</v>
      </c>
      <c r="N40" s="24" t="e">
        <f t="shared" si="17"/>
        <v>#VALUE!</v>
      </c>
      <c r="O40" s="9"/>
      <c r="Q40" s="63"/>
      <c r="AK40" s="64"/>
      <c r="AL40" s="64"/>
      <c r="AM40" s="64"/>
      <c r="AN40" s="64"/>
      <c r="AO40" s="11">
        <v>1111114</v>
      </c>
      <c r="AP40" s="65" t="str">
        <f t="shared" si="16"/>
        <v>11111149</v>
      </c>
    </row>
    <row r="41" spans="1:42" s="1" customFormat="1" ht="27.75" customHeight="1" thickTop="1" thickBot="1" x14ac:dyDescent="0.3">
      <c r="A41" s="50" t="s">
        <v>20</v>
      </c>
      <c r="B41" s="50" t="s">
        <v>20</v>
      </c>
      <c r="C41" s="50" t="s">
        <v>20</v>
      </c>
      <c r="D41" s="51">
        <v>1111115</v>
      </c>
      <c r="E41" s="67" t="s">
        <v>26</v>
      </c>
      <c r="F41" s="68" t="e">
        <f>SUMIF($B$42:$B$44,"article",F42:F44)</f>
        <v>#VALUE!</v>
      </c>
      <c r="G41" s="68" t="e">
        <f>SUMIF($B$42:$B$44,"article",G42:G44)</f>
        <v>#VALUE!</v>
      </c>
      <c r="H41" s="68">
        <f>SUMIF($B$42:$B$44,"article",H42:H44)</f>
        <v>74946044.109999999</v>
      </c>
      <c r="I41" s="68">
        <v>74946044.099999994</v>
      </c>
      <c r="J41" s="68">
        <f>SUMIF($B$42:$B$44,"article",J42:J44)</f>
        <v>74921512.540000007</v>
      </c>
      <c r="K41" s="68">
        <f>SUMIF($B$42:$B$44,"article",K42:K44)</f>
        <v>24531.569999992847</v>
      </c>
      <c r="L41" s="69">
        <f>+J41/H41</f>
        <v>0.99967267691989203</v>
      </c>
      <c r="M41" s="68"/>
      <c r="N41" s="68"/>
      <c r="O41" s="9"/>
      <c r="Q41" s="23"/>
      <c r="AK41" s="70"/>
      <c r="AL41" s="70"/>
      <c r="AM41" s="70"/>
      <c r="AN41" s="70"/>
      <c r="AO41" s="11">
        <v>1111115</v>
      </c>
    </row>
    <row r="42" spans="1:42" s="62" customFormat="1" ht="27.75" customHeight="1" thickTop="1" thickBot="1" x14ac:dyDescent="0.3">
      <c r="A42" s="56" t="s">
        <v>22</v>
      </c>
      <c r="B42" s="56" t="s">
        <v>22</v>
      </c>
      <c r="C42" s="57">
        <f>IF(A41="SECTION",D41,C41)</f>
        <v>1111115</v>
      </c>
      <c r="D42" s="58">
        <v>1</v>
      </c>
      <c r="E42" s="59" t="str">
        <f t="shared" si="2"/>
        <v>DEPENSES DE PERSONNEL</v>
      </c>
      <c r="F42" s="60" t="e">
        <f>SUMIFS([49]mensuel_section_article1!$E$3:$E$962,[49]mensuel_section_article1!$B$3:$B$962,C42,[49]mensuel_section_article1!$C$3:$C$962,D42)</f>
        <v>#VALUE!</v>
      </c>
      <c r="G42" s="60" t="e">
        <f>SUMIFS([49]mensuel_section_article1!$G$3:$G$962,[49]mensuel_section_article1!$B$3:$B$962,C42,[49]mensuel_section_article1!$C$3:$C$962,D42)</f>
        <v>#VALUE!</v>
      </c>
      <c r="H42" s="60">
        <v>54411940.109999999</v>
      </c>
      <c r="I42" s="60">
        <v>54411940.100000001</v>
      </c>
      <c r="J42" s="60">
        <v>54411905.840000004</v>
      </c>
      <c r="K42" s="60">
        <f t="shared" ref="K42:K44" si="18">+H42-J42</f>
        <v>34.269999995827675</v>
      </c>
      <c r="L42" s="61">
        <f>+J42/H42</f>
        <v>0.9999993701750034</v>
      </c>
      <c r="M42" s="60"/>
      <c r="N42" s="24"/>
      <c r="O42" s="9"/>
      <c r="Q42" s="63"/>
      <c r="AK42" s="64"/>
      <c r="AL42" s="64"/>
      <c r="AM42" s="64"/>
      <c r="AN42" s="64"/>
      <c r="AO42" s="11">
        <v>1111115</v>
      </c>
      <c r="AP42" s="65" t="str">
        <f>CONCATENATE(AO42,D42)</f>
        <v>11111151</v>
      </c>
    </row>
    <row r="43" spans="1:42" s="62" customFormat="1" ht="27.75" customHeight="1" thickTop="1" thickBot="1" x14ac:dyDescent="0.3">
      <c r="A43" s="56" t="s">
        <v>22</v>
      </c>
      <c r="B43" s="56" t="s">
        <v>22</v>
      </c>
      <c r="C43" s="57">
        <f>IF(A41="SECTION",D41,C41)</f>
        <v>1111115</v>
      </c>
      <c r="D43" s="58">
        <v>2</v>
      </c>
      <c r="E43" s="59" t="str">
        <f t="shared" si="2"/>
        <v>DEPENSES DE SERVICES ET CHARGES DIVERSES</v>
      </c>
      <c r="F43" s="60" t="e">
        <f>SUMIFS([49]mensuel_section_article1!$E$3:$E$962,[49]mensuel_section_article1!$B$3:$B$962,C43,[49]mensuel_section_article1!$C$3:$C$962,D43)</f>
        <v>#VALUE!</v>
      </c>
      <c r="G43" s="60" t="e">
        <f>SUMIFS([49]mensuel_section_article1!$G$3:$G$962,[49]mensuel_section_article1!$B$3:$B$962,C43,[49]mensuel_section_article1!$C$3:$C$962,D43)</f>
        <v>#VALUE!</v>
      </c>
      <c r="H43" s="60">
        <v>20534104</v>
      </c>
      <c r="I43" s="60">
        <v>20534104</v>
      </c>
      <c r="J43" s="60">
        <v>20509606.700000003</v>
      </c>
      <c r="K43" s="60">
        <f t="shared" si="18"/>
        <v>24497.29999999702</v>
      </c>
      <c r="L43" s="61">
        <f>+J43/H43</f>
        <v>0.99880699445176679</v>
      </c>
      <c r="M43" s="60"/>
      <c r="N43" s="24"/>
      <c r="O43" s="9"/>
      <c r="Q43" s="63"/>
      <c r="AK43" s="64"/>
      <c r="AL43" s="64"/>
      <c r="AM43" s="64"/>
      <c r="AN43" s="64"/>
      <c r="AO43" s="11">
        <v>1111115</v>
      </c>
      <c r="AP43" s="65" t="str">
        <f>CONCATENATE(AO43,D43)</f>
        <v>11111152</v>
      </c>
    </row>
    <row r="44" spans="1:42" s="62" customFormat="1" ht="27.75" hidden="1" customHeight="1" thickTop="1" thickBot="1" x14ac:dyDescent="0.3">
      <c r="A44" s="56" t="s">
        <v>22</v>
      </c>
      <c r="B44" s="56" t="s">
        <v>22</v>
      </c>
      <c r="C44" s="57">
        <f>IF(A42="SECTION",D42,C42)</f>
        <v>1111115</v>
      </c>
      <c r="D44" s="58">
        <v>7</v>
      </c>
      <c r="E44" s="59" t="str">
        <f t="shared" si="2"/>
        <v>SUBVENTIONS,QUOTES-PARTS ET CONTRIB.,ALLOC, INDEMNISATIONS</v>
      </c>
      <c r="F44" s="60" t="e">
        <f>SUMIFS([49]mensuel_section_article1!$E$3:$E$962,[49]mensuel_section_article1!$B$3:$B$962,C44,[49]mensuel_section_article1!$C$3:$C$962,D44)</f>
        <v>#VALUE!</v>
      </c>
      <c r="G44" s="60" t="e">
        <f>SUMIFS([49]mensuel_section_article1!$G$3:$G$962,[49]mensuel_section_article1!$B$3:$B$962,C44,[49]mensuel_section_article1!$C$3:$C$962,D44)</f>
        <v>#VALUE!</v>
      </c>
      <c r="H44" s="60">
        <v>0</v>
      </c>
      <c r="I44" s="60">
        <v>0</v>
      </c>
      <c r="J44" s="60">
        <v>0</v>
      </c>
      <c r="K44" s="60">
        <f t="shared" si="18"/>
        <v>0</v>
      </c>
      <c r="L44" s="61" t="e">
        <f>IF(F44&lt;&gt;0,K44/F44,0)</f>
        <v>#VALUE!</v>
      </c>
      <c r="M44" s="60" t="e">
        <f>+SUMIFS([51]section_article!$H$10:$H$936,[51]section_article!$C$10:$C$936,C44,[51]section_article!$D$10:$D$936,D44)</f>
        <v>#VALUE!</v>
      </c>
      <c r="N44" s="24" t="e">
        <f>+J44-M44</f>
        <v>#VALUE!</v>
      </c>
      <c r="O44" s="9"/>
      <c r="Q44" s="63"/>
      <c r="AK44" s="64"/>
      <c r="AL44" s="64"/>
      <c r="AM44" s="64"/>
      <c r="AN44" s="64"/>
      <c r="AO44" s="11">
        <v>1111115</v>
      </c>
      <c r="AP44" s="65" t="str">
        <f>CONCATENATE(AO44,D44)</f>
        <v>11111157</v>
      </c>
    </row>
    <row r="45" spans="1:42" s="1" customFormat="1" ht="27.75" customHeight="1" thickTop="1" x14ac:dyDescent="0.25">
      <c r="A45" s="72" t="s">
        <v>16</v>
      </c>
      <c r="B45" s="72" t="s">
        <v>16</v>
      </c>
      <c r="C45" s="72" t="s">
        <v>16</v>
      </c>
      <c r="D45" s="73">
        <v>1112</v>
      </c>
      <c r="E45" s="74" t="s">
        <v>27</v>
      </c>
      <c r="F45" s="75" t="e">
        <f>SUMIF($B$46:$B$123,"chap",F46:F123)</f>
        <v>#VALUE!</v>
      </c>
      <c r="G45" s="75" t="e">
        <f>SUMIF($B$46:$B$123,"chap",G46:G123)</f>
        <v>#VALUE!</v>
      </c>
      <c r="H45" s="75">
        <f>SUMIF($B$46:$B$123,"chap",H46:H123)</f>
        <v>5762737277.2852993</v>
      </c>
      <c r="I45" s="75">
        <v>5777487277.0999994</v>
      </c>
      <c r="J45" s="75">
        <f>SUMIF($B$46:$B$123,"chap",J46:J123)</f>
        <v>5570291079.7799988</v>
      </c>
      <c r="K45" s="75">
        <f>SUMIF($B$46:$B$123,"chap",K46:K123)</f>
        <v>192446197.50529939</v>
      </c>
      <c r="L45" s="76">
        <f t="shared" ref="L45:L50" si="19">+J45/H45</f>
        <v>0.96660507181823885</v>
      </c>
      <c r="M45" s="75"/>
      <c r="N45" s="75"/>
      <c r="O45" s="9"/>
      <c r="Q45" s="23"/>
      <c r="AK45" s="77"/>
      <c r="AL45" s="77"/>
      <c r="AM45" s="77"/>
      <c r="AN45" s="77"/>
      <c r="AO45" s="11"/>
    </row>
    <row r="46" spans="1:42" s="49" customFormat="1" ht="27.75" customHeight="1" x14ac:dyDescent="0.25">
      <c r="A46" s="43" t="s">
        <v>19</v>
      </c>
      <c r="B46" s="43" t="s">
        <v>19</v>
      </c>
      <c r="C46" s="43" t="s">
        <v>19</v>
      </c>
      <c r="D46" s="44">
        <v>11121</v>
      </c>
      <c r="E46" s="45" t="str">
        <f>VLOOKUP(D46,[49]INST!$A$1:$B$626,2,FALSE)</f>
        <v>SERVICES INTERNES</v>
      </c>
      <c r="F46" s="46" t="e">
        <f>SUMIF($B$47:$B$82,"section",F47:F82)</f>
        <v>#VALUE!</v>
      </c>
      <c r="G46" s="46" t="e">
        <f>SUMIF($B$47:$B$82,"section",G47:G82)</f>
        <v>#VALUE!</v>
      </c>
      <c r="H46" s="46">
        <f>SUMIF($B$47:$B$82,"section",H47:H82)</f>
        <v>1568353899.3403001</v>
      </c>
      <c r="I46" s="46">
        <v>1555603899.3000002</v>
      </c>
      <c r="J46" s="46">
        <f>SUMIF($B$47:$B$82,"section",J47:J82)</f>
        <v>1441790386.8099999</v>
      </c>
      <c r="K46" s="46">
        <f>SUMIF($B$47:$B$82,"section",K47:K82)</f>
        <v>126563512.53029993</v>
      </c>
      <c r="L46" s="47">
        <f t="shared" si="19"/>
        <v>0.91930168785021238</v>
      </c>
      <c r="M46" s="46"/>
      <c r="N46" s="46"/>
      <c r="O46" s="48"/>
      <c r="AO46" s="11"/>
    </row>
    <row r="47" spans="1:42" s="1" customFormat="1" ht="27.75" customHeight="1" thickBot="1" x14ac:dyDescent="0.3">
      <c r="A47" s="71" t="s">
        <v>20</v>
      </c>
      <c r="B47" s="71" t="s">
        <v>20</v>
      </c>
      <c r="C47" s="71" t="s">
        <v>20</v>
      </c>
      <c r="D47" s="51">
        <v>1112111</v>
      </c>
      <c r="E47" s="67" t="s">
        <v>21</v>
      </c>
      <c r="F47" s="68" t="e">
        <f>SUMIF($B$48:$B$54,"article",F48:F54)</f>
        <v>#VALUE!</v>
      </c>
      <c r="G47" s="68" t="e">
        <f>SUMIF($B$48:$B$54,"article",G48:G54)</f>
        <v>#VALUE!</v>
      </c>
      <c r="H47" s="68">
        <f>SUMIF($B$48:$B$54,"article",H48:H54)</f>
        <v>74076330.820000008</v>
      </c>
      <c r="I47" s="68">
        <v>43650742.400000006</v>
      </c>
      <c r="J47" s="68">
        <f>SUMIF($B$48:$B$54,"article",J48:J54)</f>
        <v>33781283.140000001</v>
      </c>
      <c r="K47" s="68">
        <f>SUMIF($B$48:$B$54,"article",K48:K54)</f>
        <v>40295047.680000015</v>
      </c>
      <c r="L47" s="69">
        <f t="shared" si="19"/>
        <v>0.45603342884363446</v>
      </c>
      <c r="M47" s="68"/>
      <c r="N47" s="68"/>
      <c r="O47" s="9"/>
      <c r="Q47" s="23"/>
      <c r="AK47" s="70"/>
      <c r="AL47" s="70"/>
      <c r="AM47" s="70"/>
      <c r="AN47" s="70"/>
      <c r="AO47" s="11">
        <v>1112111</v>
      </c>
      <c r="AP47" s="70"/>
    </row>
    <row r="48" spans="1:42" s="62" customFormat="1" ht="27.75" customHeight="1" thickTop="1" thickBot="1" x14ac:dyDescent="0.3">
      <c r="A48" s="56" t="s">
        <v>22</v>
      </c>
      <c r="B48" s="56" t="s">
        <v>22</v>
      </c>
      <c r="C48" s="57">
        <f t="shared" ref="C48:C54" si="20">IF(A47="SECTION",D47,C47)</f>
        <v>1112111</v>
      </c>
      <c r="D48" s="58">
        <v>1</v>
      </c>
      <c r="E48" s="59" t="str">
        <f t="shared" ref="E48:E54" si="21">IF(D48=1, "DEPENSES DE PERSONNEL",  +IF(D48=2,"DEPENSES DE SERVICES ET CHARGES DIVERSES", +IF(D48=3,"ACHATS DE BIENS DE CONSOMMATION ET PETITS MATERIELS",+IF(D48=4,"IMMOBILISATION CORPORELLE",+IF(D48=5,"IMMOBILISATION INCORPORELLE",+IF(D48=7,"SUBVENTIONS,QUOTES-PARTS ET CONTRIB.,ALLOC, INDEMNISATIONS",+IF(D48=8,"AMORTISSEMENT DE LA DETTE",+IF(D48=9,"AUTRES DEPENSES PUBLIQUES",0))))))))</f>
        <v>DEPENSES DE PERSONNEL</v>
      </c>
      <c r="F48" s="60" t="e">
        <f>SUMIFS([49]mensuel_section_article1!$E$3:$E$962,[49]mensuel_section_article1!$B$3:$B$962,C48,[49]mensuel_section_article1!$C$3:$C$962,D48)</f>
        <v>#VALUE!</v>
      </c>
      <c r="G48" s="60" t="e">
        <f>SUMIFS([49]mensuel_section_article1!$G$3:$G$962,[49]mensuel_section_article1!$B$3:$B$962,C48,[49]mensuel_section_article1!$C$3:$C$962,D48)</f>
        <v>#VALUE!</v>
      </c>
      <c r="H48" s="60">
        <v>34213151.260000005</v>
      </c>
      <c r="I48" s="60">
        <v>12386399.6</v>
      </c>
      <c r="J48" s="60">
        <v>12142670.83</v>
      </c>
      <c r="K48" s="60">
        <f t="shared" ref="K48:K54" si="22">+H48-J48</f>
        <v>22070480.430000007</v>
      </c>
      <c r="L48" s="61">
        <f t="shared" si="19"/>
        <v>0.35491237675602522</v>
      </c>
      <c r="M48" s="60"/>
      <c r="N48" s="24"/>
      <c r="O48" s="9"/>
      <c r="Q48" s="63"/>
      <c r="AK48" s="64"/>
      <c r="AL48" s="64"/>
      <c r="AM48" s="64"/>
      <c r="AN48" s="64"/>
      <c r="AO48" s="11">
        <v>1112111</v>
      </c>
      <c r="AP48" s="65" t="str">
        <f t="shared" ref="AP48:AP54" si="23">CONCATENATE(AO48,D48)</f>
        <v>11121111</v>
      </c>
    </row>
    <row r="49" spans="1:44" s="62" customFormat="1" ht="27.75" customHeight="1" thickTop="1" thickBot="1" x14ac:dyDescent="0.3">
      <c r="A49" s="56" t="s">
        <v>22</v>
      </c>
      <c r="B49" s="56" t="s">
        <v>22</v>
      </c>
      <c r="C49" s="57">
        <f t="shared" si="20"/>
        <v>1112111</v>
      </c>
      <c r="D49" s="58">
        <v>2</v>
      </c>
      <c r="E49" s="59" t="str">
        <f t="shared" si="21"/>
        <v>DEPENSES DE SERVICES ET CHARGES DIVERSES</v>
      </c>
      <c r="F49" s="60" t="e">
        <f>SUMIFS([49]mensuel_section_article1!$E$3:$E$962,[49]mensuel_section_article1!$B$3:$B$962,C49,[49]mensuel_section_article1!$C$3:$C$962,D49)</f>
        <v>#VALUE!</v>
      </c>
      <c r="G49" s="60" t="e">
        <f>SUMIFS([49]mensuel_section_article1!$G$3:$G$962,[49]mensuel_section_article1!$B$3:$B$962,C49,[49]mensuel_section_article1!$C$3:$C$962,D49)</f>
        <v>#VALUE!</v>
      </c>
      <c r="H49" s="60">
        <v>16624179.760000002</v>
      </c>
      <c r="I49" s="60">
        <v>12114863</v>
      </c>
      <c r="J49" s="60">
        <v>10137324.6</v>
      </c>
      <c r="K49" s="60">
        <f t="shared" si="22"/>
        <v>6486855.160000002</v>
      </c>
      <c r="L49" s="61">
        <f t="shared" si="19"/>
        <v>0.6097939715733679</v>
      </c>
      <c r="M49" s="60"/>
      <c r="N49" s="24"/>
      <c r="O49" s="9"/>
      <c r="Q49" s="63"/>
      <c r="AK49" s="64"/>
      <c r="AL49" s="64"/>
      <c r="AM49" s="64"/>
      <c r="AN49" s="64"/>
      <c r="AO49" s="11">
        <v>1112111</v>
      </c>
      <c r="AP49" s="65" t="str">
        <f t="shared" si="23"/>
        <v>11121112</v>
      </c>
    </row>
    <row r="50" spans="1:44" s="62" customFormat="1" ht="27.75" customHeight="1" thickTop="1" thickBot="1" x14ac:dyDescent="0.3">
      <c r="A50" s="56" t="s">
        <v>22</v>
      </c>
      <c r="B50" s="56" t="s">
        <v>22</v>
      </c>
      <c r="C50" s="57">
        <f t="shared" si="20"/>
        <v>1112111</v>
      </c>
      <c r="D50" s="58">
        <v>3</v>
      </c>
      <c r="E50" s="59" t="str">
        <f t="shared" si="21"/>
        <v>ACHATS DE BIENS DE CONSOMMATION ET PETITS MATERIELS</v>
      </c>
      <c r="F50" s="60" t="e">
        <f>SUMIFS([49]mensuel_section_article1!$E$3:$E$962,[49]mensuel_section_article1!$B$3:$B$962,C50,[49]mensuel_section_article1!$C$3:$C$962,D50)</f>
        <v>#VALUE!</v>
      </c>
      <c r="G50" s="60" t="e">
        <f>SUMIFS([49]mensuel_section_article1!$G$3:$G$962,[49]mensuel_section_article1!$B$3:$B$962,C50,[49]mensuel_section_article1!$C$3:$C$962,D50)</f>
        <v>#VALUE!</v>
      </c>
      <c r="H50" s="60">
        <v>6203967.6000000015</v>
      </c>
      <c r="I50" s="60">
        <v>6570947.5999999996</v>
      </c>
      <c r="J50" s="60">
        <v>5671652.5800000001</v>
      </c>
      <c r="K50" s="60">
        <f t="shared" si="22"/>
        <v>532315.02000000142</v>
      </c>
      <c r="L50" s="61">
        <f t="shared" si="19"/>
        <v>0.91419764668016623</v>
      </c>
      <c r="M50" s="60"/>
      <c r="N50" s="24"/>
      <c r="O50" s="9"/>
      <c r="P50" s="78"/>
      <c r="Q50" s="63"/>
      <c r="AK50" s="64"/>
      <c r="AL50" s="64"/>
      <c r="AM50" s="64"/>
      <c r="AN50" s="64"/>
      <c r="AO50" s="11">
        <v>1112111</v>
      </c>
      <c r="AP50" s="65" t="str">
        <f t="shared" si="23"/>
        <v>11121113</v>
      </c>
    </row>
    <row r="51" spans="1:44" s="62" customFormat="1" ht="27.75" hidden="1" customHeight="1" thickTop="1" thickBot="1" x14ac:dyDescent="0.3">
      <c r="A51" s="56" t="s">
        <v>22</v>
      </c>
      <c r="B51" s="56" t="s">
        <v>22</v>
      </c>
      <c r="C51" s="57">
        <f t="shared" si="20"/>
        <v>1112111</v>
      </c>
      <c r="D51" s="58">
        <v>4</v>
      </c>
      <c r="E51" s="59" t="str">
        <f t="shared" si="21"/>
        <v>IMMOBILISATION CORPORELLE</v>
      </c>
      <c r="F51" s="60" t="e">
        <f>SUMIFS([49]mensuel_section_article1!$E$3:$E$962,[49]mensuel_section_article1!$B$3:$B$962,C51,[49]mensuel_section_article1!$C$3:$C$962,D51)</f>
        <v>#VALUE!</v>
      </c>
      <c r="G51" s="60" t="e">
        <f>SUMIFS([49]mensuel_section_article1!$G$3:$G$962,[49]mensuel_section_article1!$B$3:$B$962,C51,[49]mensuel_section_article1!$C$3:$C$962,D51)</f>
        <v>#VALUE!</v>
      </c>
      <c r="H51" s="60">
        <v>0</v>
      </c>
      <c r="I51" s="60">
        <v>0</v>
      </c>
      <c r="J51" s="60">
        <v>0</v>
      </c>
      <c r="K51" s="60">
        <f t="shared" si="22"/>
        <v>0</v>
      </c>
      <c r="L51" s="61" t="e">
        <f>IF(F51&lt;&gt;0,K51/F51,0)</f>
        <v>#VALUE!</v>
      </c>
      <c r="M51" s="60" t="e">
        <f>+SUMIFS([51]section_article!$H$10:$H$936,[51]section_article!$C$10:$C$936,C51,[51]section_article!$D$10:$D$936,D51)</f>
        <v>#VALUE!</v>
      </c>
      <c r="N51" s="24" t="e">
        <f t="shared" ref="N48:N54" si="24">+J51-M51</f>
        <v>#VALUE!</v>
      </c>
      <c r="O51" s="9"/>
      <c r="Q51" s="63"/>
      <c r="AK51" s="64"/>
      <c r="AL51" s="64"/>
      <c r="AM51" s="64"/>
      <c r="AN51" s="64"/>
      <c r="AO51" s="11">
        <v>1112111</v>
      </c>
      <c r="AP51" s="65" t="str">
        <f t="shared" si="23"/>
        <v>11121114</v>
      </c>
    </row>
    <row r="52" spans="1:44" s="62" customFormat="1" ht="27.75" hidden="1" customHeight="1" thickTop="1" thickBot="1" x14ac:dyDescent="0.3">
      <c r="A52" s="56" t="s">
        <v>22</v>
      </c>
      <c r="B52" s="56" t="s">
        <v>22</v>
      </c>
      <c r="C52" s="57">
        <f t="shared" si="20"/>
        <v>1112111</v>
      </c>
      <c r="D52" s="58">
        <v>5</v>
      </c>
      <c r="E52" s="59" t="str">
        <f t="shared" si="21"/>
        <v>IMMOBILISATION INCORPORELLE</v>
      </c>
      <c r="F52" s="60" t="e">
        <f>SUMIFS([49]mensuel_section_article1!$E$3:$E$962,[49]mensuel_section_article1!$B$3:$B$962,C52,[49]mensuel_section_article1!$C$3:$C$962,D52)</f>
        <v>#VALUE!</v>
      </c>
      <c r="G52" s="60" t="e">
        <f>SUMIFS([49]mensuel_section_article1!$G$3:$G$962,[49]mensuel_section_article1!$B$3:$B$962,C52,[49]mensuel_section_article1!$C$3:$C$962,D52)</f>
        <v>#VALUE!</v>
      </c>
      <c r="H52" s="60">
        <v>0</v>
      </c>
      <c r="I52" s="60">
        <v>0</v>
      </c>
      <c r="J52" s="60">
        <v>0</v>
      </c>
      <c r="K52" s="60">
        <f t="shared" si="22"/>
        <v>0</v>
      </c>
      <c r="L52" s="61" t="e">
        <f>IF(F52&lt;&gt;0,K52/F52,0)</f>
        <v>#VALUE!</v>
      </c>
      <c r="M52" s="60" t="e">
        <f>+SUMIFS([51]section_article!$H$10:$H$936,[51]section_article!$C$10:$C$936,C52,[51]section_article!$D$10:$D$936,D52)</f>
        <v>#VALUE!</v>
      </c>
      <c r="N52" s="24" t="e">
        <f t="shared" si="24"/>
        <v>#VALUE!</v>
      </c>
      <c r="O52" s="9"/>
      <c r="Q52" s="63"/>
      <c r="R52" s="8">
        <f>160000000-102922650</f>
        <v>57077350</v>
      </c>
      <c r="AK52" s="64"/>
      <c r="AL52" s="64"/>
      <c r="AM52" s="64"/>
      <c r="AN52" s="64"/>
      <c r="AO52" s="11">
        <v>1112111</v>
      </c>
      <c r="AP52" s="65" t="str">
        <f t="shared" si="23"/>
        <v>11121115</v>
      </c>
    </row>
    <row r="53" spans="1:44" s="62" customFormat="1" ht="27.75" hidden="1" customHeight="1" thickTop="1" thickBot="1" x14ac:dyDescent="0.3">
      <c r="A53" s="56" t="s">
        <v>22</v>
      </c>
      <c r="B53" s="56" t="s">
        <v>22</v>
      </c>
      <c r="C53" s="57">
        <f t="shared" si="20"/>
        <v>1112111</v>
      </c>
      <c r="D53" s="58">
        <v>7</v>
      </c>
      <c r="E53" s="59" t="str">
        <f t="shared" si="21"/>
        <v>SUBVENTIONS,QUOTES-PARTS ET CONTRIB.,ALLOC, INDEMNISATIONS</v>
      </c>
      <c r="F53" s="60" t="e">
        <f>SUMIFS([49]mensuel_section_article1!$E$3:$E$962,[49]mensuel_section_article1!$B$3:$B$962,C53,[49]mensuel_section_article1!$C$3:$C$962,D53)</f>
        <v>#VALUE!</v>
      </c>
      <c r="G53" s="60" t="e">
        <f>SUMIFS([49]mensuel_section_article1!$G$3:$G$962,[49]mensuel_section_article1!$B$3:$B$962,C53,[49]mensuel_section_article1!$C$3:$C$962,D53)</f>
        <v>#VALUE!</v>
      </c>
      <c r="H53" s="60">
        <v>0</v>
      </c>
      <c r="I53" s="60">
        <v>0</v>
      </c>
      <c r="J53" s="60">
        <v>0</v>
      </c>
      <c r="K53" s="60">
        <f t="shared" si="22"/>
        <v>0</v>
      </c>
      <c r="L53" s="61" t="e">
        <f>IF(F53&lt;&gt;0,K53/F53,0)</f>
        <v>#VALUE!</v>
      </c>
      <c r="M53" s="60" t="e">
        <f>+SUMIFS([51]section_article!$H$10:$H$936,[51]section_article!$C$10:$C$936,C53,[51]section_article!$D$10:$D$936,D53)</f>
        <v>#VALUE!</v>
      </c>
      <c r="N53" s="24" t="e">
        <f t="shared" si="24"/>
        <v>#VALUE!</v>
      </c>
      <c r="O53" s="9"/>
      <c r="Q53" s="63"/>
      <c r="AK53" s="64"/>
      <c r="AL53" s="64"/>
      <c r="AM53" s="64"/>
      <c r="AN53" s="64"/>
      <c r="AO53" s="11">
        <v>1112111</v>
      </c>
      <c r="AP53" s="65" t="str">
        <f t="shared" si="23"/>
        <v>11121117</v>
      </c>
    </row>
    <row r="54" spans="1:44" s="62" customFormat="1" ht="27.75" customHeight="1" thickTop="1" thickBot="1" x14ac:dyDescent="0.3">
      <c r="A54" s="56" t="s">
        <v>22</v>
      </c>
      <c r="B54" s="56" t="s">
        <v>22</v>
      </c>
      <c r="C54" s="57">
        <f t="shared" si="20"/>
        <v>1112111</v>
      </c>
      <c r="D54" s="58">
        <v>9</v>
      </c>
      <c r="E54" s="59" t="str">
        <f t="shared" si="21"/>
        <v>AUTRES DEPENSES PUBLIQUES</v>
      </c>
      <c r="F54" s="60" t="e">
        <f>SUMIFS([49]mensuel_section_article1!$E$3:$E$962,[49]mensuel_section_article1!$B$3:$B$962,C54,[49]mensuel_section_article1!$C$3:$C$962,D54)</f>
        <v>#VALUE!</v>
      </c>
      <c r="G54" s="60" t="e">
        <f>SUMIFS([49]mensuel_section_article1!$G$3:$G$962,[49]mensuel_section_article1!$B$3:$B$962,C54,[49]mensuel_section_article1!$C$3:$C$962,D54)</f>
        <v>#VALUE!</v>
      </c>
      <c r="H54" s="60">
        <v>17035032.199999999</v>
      </c>
      <c r="I54" s="60">
        <v>12578532.199999999</v>
      </c>
      <c r="J54" s="60">
        <v>5829635.1299999999</v>
      </c>
      <c r="K54" s="60">
        <f t="shared" si="22"/>
        <v>11205397.07</v>
      </c>
      <c r="L54" s="61">
        <f t="shared" ref="L54:L65" si="25">+J54/H54</f>
        <v>0.34221450605769915</v>
      </c>
      <c r="M54" s="60"/>
      <c r="N54" s="24"/>
      <c r="O54" s="9"/>
      <c r="P54" s="8"/>
      <c r="Q54" s="63"/>
      <c r="AK54" s="64"/>
      <c r="AL54" s="64"/>
      <c r="AM54" s="64"/>
      <c r="AN54" s="64"/>
      <c r="AO54" s="11">
        <v>1112111</v>
      </c>
      <c r="AP54" s="65" t="str">
        <f t="shared" si="23"/>
        <v>11121119</v>
      </c>
    </row>
    <row r="55" spans="1:44" s="1" customFormat="1" ht="27.75" customHeight="1" thickTop="1" thickBot="1" x14ac:dyDescent="0.3">
      <c r="A55" s="50" t="s">
        <v>20</v>
      </c>
      <c r="B55" s="50" t="s">
        <v>20</v>
      </c>
      <c r="C55" s="50" t="s">
        <v>20</v>
      </c>
      <c r="D55" s="51">
        <v>1112112</v>
      </c>
      <c r="E55" s="67" t="s">
        <v>23</v>
      </c>
      <c r="F55" s="68" t="e">
        <f>SUMIF($B$56:$B$62,"article",F56:F62)</f>
        <v>#VALUE!</v>
      </c>
      <c r="G55" s="68" t="e">
        <f>SUMIF($B$56:$B$62,"article",G56:G62)</f>
        <v>#VALUE!</v>
      </c>
      <c r="H55" s="68">
        <f>SUMIF($B$56:$B$62,"article",H56:H62)</f>
        <v>1138078675.2763</v>
      </c>
      <c r="I55" s="68">
        <v>1155754263.7</v>
      </c>
      <c r="J55" s="68">
        <f>SUMIF($B$56:$B$62,"article",J56:J62)</f>
        <v>1054509072.8999999</v>
      </c>
      <c r="K55" s="68">
        <f>SUMIF($B$56:$B$62,"article",K56:K62)</f>
        <v>83569602.376299918</v>
      </c>
      <c r="L55" s="69">
        <f t="shared" si="25"/>
        <v>0.92656957362283299</v>
      </c>
      <c r="M55" s="68"/>
      <c r="N55" s="68"/>
      <c r="O55" s="9"/>
      <c r="P55" s="79"/>
      <c r="Q55" s="23"/>
      <c r="AK55" s="70"/>
      <c r="AL55" s="70"/>
      <c r="AM55" s="70"/>
      <c r="AN55" s="70"/>
      <c r="AO55" s="11">
        <v>1112112</v>
      </c>
      <c r="AP55" s="70"/>
    </row>
    <row r="56" spans="1:44" s="62" customFormat="1" ht="27.75" customHeight="1" thickTop="1" thickBot="1" x14ac:dyDescent="0.3">
      <c r="A56" s="56" t="s">
        <v>22</v>
      </c>
      <c r="B56" s="56" t="s">
        <v>22</v>
      </c>
      <c r="C56" s="57">
        <f t="shared" ref="C56:C62" si="26">IF(A55="SECTION",D55,C55)</f>
        <v>1112112</v>
      </c>
      <c r="D56" s="58">
        <v>1</v>
      </c>
      <c r="E56" s="59" t="str">
        <f t="shared" ref="E56:E62" si="27">IF(D56=1, "DEPENSES DE PERSONNEL",  +IF(D56=2,"DEPENSES DE SERVICES ET CHARGES DIVERSES", +IF(D56=3,"ACHATS DE BIENS DE CONSOMMATION ET PETITS MATERIELS",+IF(D56=4,"IMMOBILISATION CORPORELLE",+IF(D56=5,"IMMOBILISATION INCORPORELLE",+IF(D56=7,"SUBVENTIONS,QUOTES-PARTS ET CONTRIB.,ALLOC, INDEMNISATIONS",+IF(D56=8,"AMORTISSEMENT DE LA DETTE",+IF(D56=9,"AUTRES DEPENSES PUBLIQUES",0))))))))</f>
        <v>DEPENSES DE PERSONNEL</v>
      </c>
      <c r="F56" s="60" t="e">
        <f>SUMIFS([49]mensuel_section_article1!$E$3:$E$962,[49]mensuel_section_article1!$B$3:$B$962,C56,[49]mensuel_section_article1!$C$3:$C$962,D56)</f>
        <v>#VALUE!</v>
      </c>
      <c r="G56" s="60" t="e">
        <f>SUMIFS([49]mensuel_section_article1!$G$3:$G$962,[49]mensuel_section_article1!$B$3:$B$962,C56,[49]mensuel_section_article1!$C$3:$C$962,D56)</f>
        <v>#VALUE!</v>
      </c>
      <c r="H56" s="60">
        <v>516164287.52999991</v>
      </c>
      <c r="I56" s="60">
        <v>525241039.19999999</v>
      </c>
      <c r="J56" s="60">
        <v>510330014.25999999</v>
      </c>
      <c r="K56" s="60">
        <f t="shared" ref="K56:K62" si="28">+H56-J56</f>
        <v>5834273.2699999213</v>
      </c>
      <c r="L56" s="61">
        <f t="shared" si="25"/>
        <v>0.98869686762344866</v>
      </c>
      <c r="M56" s="60"/>
      <c r="N56" s="24"/>
      <c r="O56" s="9"/>
      <c r="P56" s="78"/>
      <c r="Q56" s="63"/>
      <c r="AK56" s="64"/>
      <c r="AL56" s="64"/>
      <c r="AM56" s="64"/>
      <c r="AN56" s="64"/>
      <c r="AO56" s="11">
        <v>1112112</v>
      </c>
      <c r="AP56" s="65" t="str">
        <f t="shared" ref="AP56:AP62" si="29">CONCATENATE(AO56,D56)</f>
        <v>11121121</v>
      </c>
      <c r="AQ56" s="9">
        <v>268190812.84999999</v>
      </c>
      <c r="AR56" s="63">
        <f>+AQ56-AP56</f>
        <v>257069691.84999999</v>
      </c>
    </row>
    <row r="57" spans="1:44" s="62" customFormat="1" ht="27.75" customHeight="1" thickTop="1" thickBot="1" x14ac:dyDescent="0.3">
      <c r="A57" s="56" t="s">
        <v>22</v>
      </c>
      <c r="B57" s="56" t="s">
        <v>22</v>
      </c>
      <c r="C57" s="57">
        <f t="shared" si="26"/>
        <v>1112112</v>
      </c>
      <c r="D57" s="58">
        <v>2</v>
      </c>
      <c r="E57" s="59" t="str">
        <f t="shared" si="27"/>
        <v>DEPENSES DE SERVICES ET CHARGES DIVERSES</v>
      </c>
      <c r="F57" s="60" t="e">
        <f>SUMIFS([49]mensuel_section_article1!$E$3:$E$962,[49]mensuel_section_article1!$B$3:$B$962,C57,[49]mensuel_section_article1!$C$3:$C$962,D57)</f>
        <v>#VALUE!</v>
      </c>
      <c r="G57" s="60" t="e">
        <f>SUMIFS([49]mensuel_section_article1!$G$3:$G$962,[49]mensuel_section_article1!$B$3:$B$962,C57,[49]mensuel_section_article1!$C$3:$C$962,D57)</f>
        <v>#VALUE!</v>
      </c>
      <c r="H57" s="60">
        <v>90999515.615500003</v>
      </c>
      <c r="I57" s="60">
        <v>108355114.46999998</v>
      </c>
      <c r="J57" s="60">
        <v>83549475.920000002</v>
      </c>
      <c r="K57" s="60">
        <f t="shared" si="28"/>
        <v>7450039.6955000013</v>
      </c>
      <c r="L57" s="61">
        <f t="shared" si="25"/>
        <v>0.91813099613652194</v>
      </c>
      <c r="M57" s="60"/>
      <c r="N57" s="24"/>
      <c r="O57" s="9"/>
      <c r="Q57" s="63"/>
      <c r="AK57" s="64"/>
      <c r="AL57" s="64"/>
      <c r="AM57" s="64"/>
      <c r="AN57" s="64"/>
      <c r="AO57" s="11">
        <v>1112112</v>
      </c>
      <c r="AP57" s="65" t="str">
        <f t="shared" si="29"/>
        <v>11121122</v>
      </c>
      <c r="AQ57" s="62">
        <v>59063339.57</v>
      </c>
      <c r="AR57" s="63">
        <f>+AQ57-AP57</f>
        <v>47942217.57</v>
      </c>
    </row>
    <row r="58" spans="1:44" s="62" customFormat="1" ht="27.75" customHeight="1" thickTop="1" thickBot="1" x14ac:dyDescent="0.3">
      <c r="A58" s="56" t="s">
        <v>22</v>
      </c>
      <c r="B58" s="56" t="s">
        <v>22</v>
      </c>
      <c r="C58" s="57">
        <f t="shared" si="26"/>
        <v>1112112</v>
      </c>
      <c r="D58" s="58">
        <v>3</v>
      </c>
      <c r="E58" s="59" t="str">
        <f t="shared" si="27"/>
        <v>ACHATS DE BIENS DE CONSOMMATION ET PETITS MATERIELS</v>
      </c>
      <c r="F58" s="60" t="e">
        <f>SUMIFS([49]mensuel_section_article1!$E$3:$E$962,[49]mensuel_section_article1!$B$3:$B$962,C58,[49]mensuel_section_article1!$C$3:$C$962,D58)</f>
        <v>#VALUE!</v>
      </c>
      <c r="G58" s="60" t="e">
        <f>SUMIFS([49]mensuel_section_article1!$G$3:$G$962,[49]mensuel_section_article1!$B$3:$B$962,C58,[49]mensuel_section_article1!$C$3:$C$962,D58)</f>
        <v>#VALUE!</v>
      </c>
      <c r="H58" s="60">
        <v>89720088.228799999</v>
      </c>
      <c r="I58" s="60">
        <v>76873806.129999995</v>
      </c>
      <c r="J58" s="60">
        <v>58435899.260000005</v>
      </c>
      <c r="K58" s="60">
        <f t="shared" si="28"/>
        <v>31284188.968799993</v>
      </c>
      <c r="L58" s="61">
        <f t="shared" si="25"/>
        <v>0.65131343953852894</v>
      </c>
      <c r="M58" s="60"/>
      <c r="N58" s="24"/>
      <c r="O58" s="9"/>
      <c r="Q58" s="63"/>
      <c r="R58" s="8"/>
      <c r="AK58" s="64"/>
      <c r="AL58" s="64"/>
      <c r="AM58" s="64"/>
      <c r="AN58" s="64"/>
      <c r="AO58" s="11">
        <v>1112112</v>
      </c>
      <c r="AP58" s="65" t="str">
        <f t="shared" si="29"/>
        <v>11121123</v>
      </c>
      <c r="AQ58" s="80">
        <f>34677500.04-AP58</f>
        <v>23556377.039999999</v>
      </c>
    </row>
    <row r="59" spans="1:44" s="62" customFormat="1" ht="27.75" customHeight="1" thickTop="1" thickBot="1" x14ac:dyDescent="0.3">
      <c r="A59" s="56" t="s">
        <v>22</v>
      </c>
      <c r="B59" s="56" t="s">
        <v>22</v>
      </c>
      <c r="C59" s="57">
        <f t="shared" si="26"/>
        <v>1112112</v>
      </c>
      <c r="D59" s="58">
        <v>4</v>
      </c>
      <c r="E59" s="59" t="str">
        <f t="shared" si="27"/>
        <v>IMMOBILISATION CORPORELLE</v>
      </c>
      <c r="F59" s="60" t="e">
        <f>SUMIFS([49]mensuel_section_article1!$E$3:$E$962,[49]mensuel_section_article1!$B$3:$B$962,C59,[49]mensuel_section_article1!$C$3:$C$962,D59)</f>
        <v>#VALUE!</v>
      </c>
      <c r="G59" s="60" t="e">
        <f>SUMIFS([49]mensuel_section_article1!$G$3:$G$962,[49]mensuel_section_article1!$B$3:$B$962,C59,[49]mensuel_section_article1!$C$3:$C$962,D59)</f>
        <v>#VALUE!</v>
      </c>
      <c r="H59" s="60">
        <v>27208696.1404</v>
      </c>
      <c r="I59" s="60">
        <v>27708696.099999998</v>
      </c>
      <c r="J59" s="60">
        <v>21085670.649999999</v>
      </c>
      <c r="K59" s="60">
        <f t="shared" si="28"/>
        <v>6123025.4904000014</v>
      </c>
      <c r="L59" s="61">
        <f t="shared" si="25"/>
        <v>0.77496071627965979</v>
      </c>
      <c r="M59" s="60"/>
      <c r="N59" s="24"/>
      <c r="O59" s="9"/>
      <c r="Q59" s="63"/>
      <c r="R59" s="8"/>
      <c r="AK59" s="64"/>
      <c r="AL59" s="64"/>
      <c r="AM59" s="64"/>
      <c r="AN59" s="64"/>
      <c r="AO59" s="11">
        <v>1112112</v>
      </c>
      <c r="AP59" s="65" t="str">
        <f t="shared" si="29"/>
        <v>11121124</v>
      </c>
      <c r="AQ59" s="80">
        <f>15439999.44-AP59</f>
        <v>4318875.4399999995</v>
      </c>
    </row>
    <row r="60" spans="1:44" s="62" customFormat="1" ht="27.75" customHeight="1" thickTop="1" thickBot="1" x14ac:dyDescent="0.3">
      <c r="A60" s="56" t="s">
        <v>22</v>
      </c>
      <c r="B60" s="56" t="s">
        <v>22</v>
      </c>
      <c r="C60" s="57">
        <f t="shared" si="26"/>
        <v>1112112</v>
      </c>
      <c r="D60" s="58">
        <v>5</v>
      </c>
      <c r="E60" s="59" t="str">
        <f t="shared" si="27"/>
        <v>IMMOBILISATION INCORPORELLE</v>
      </c>
      <c r="F60" s="60" t="e">
        <f>SUMIFS([49]mensuel_section_article1!$E$3:$E$962,[49]mensuel_section_article1!$B$3:$B$962,C60,[49]mensuel_section_article1!$C$3:$C$962,D60)</f>
        <v>#VALUE!</v>
      </c>
      <c r="G60" s="60" t="e">
        <f>SUMIFS([49]mensuel_section_article1!$G$3:$G$962,[49]mensuel_section_article1!$B$3:$B$962,C60,[49]mensuel_section_article1!$C$3:$C$962,D60)</f>
        <v>#VALUE!</v>
      </c>
      <c r="H60" s="60">
        <v>679452.48719999986</v>
      </c>
      <c r="I60" s="60">
        <v>179452.5</v>
      </c>
      <c r="J60" s="60">
        <v>0</v>
      </c>
      <c r="K60" s="60">
        <f t="shared" si="28"/>
        <v>679452.48719999986</v>
      </c>
      <c r="L60" s="61">
        <f t="shared" si="25"/>
        <v>0</v>
      </c>
      <c r="M60" s="60"/>
      <c r="N60" s="24"/>
      <c r="O60" s="9"/>
      <c r="Q60" s="63"/>
      <c r="R60" s="8"/>
      <c r="AK60" s="64"/>
      <c r="AL60" s="64"/>
      <c r="AM60" s="64"/>
      <c r="AN60" s="64"/>
      <c r="AO60" s="11">
        <v>1112112</v>
      </c>
      <c r="AP60" s="65" t="str">
        <f t="shared" si="29"/>
        <v>11121125</v>
      </c>
      <c r="AQ60" s="80">
        <f>350000.04-AP60</f>
        <v>-10771124.960000001</v>
      </c>
    </row>
    <row r="61" spans="1:44" s="62" customFormat="1" ht="27.75" customHeight="1" thickTop="1" thickBot="1" x14ac:dyDescent="0.3">
      <c r="A61" s="56" t="s">
        <v>22</v>
      </c>
      <c r="B61" s="56" t="s">
        <v>22</v>
      </c>
      <c r="C61" s="57">
        <f t="shared" si="26"/>
        <v>1112112</v>
      </c>
      <c r="D61" s="58">
        <v>7</v>
      </c>
      <c r="E61" s="59" t="str">
        <f t="shared" si="27"/>
        <v>SUBVENTIONS,QUOTES-PARTS ET CONTRIB.,ALLOC, INDEMNISATIONS</v>
      </c>
      <c r="F61" s="60" t="e">
        <f>SUMIFS([49]mensuel_section_article1!$E$3:$E$962,[49]mensuel_section_article1!$B$3:$B$962,C61,[49]mensuel_section_article1!$C$3:$C$962,D61)</f>
        <v>#VALUE!</v>
      </c>
      <c r="G61" s="60" t="e">
        <f>SUMIFS([49]mensuel_section_article1!$G$3:$G$962,[49]mensuel_section_article1!$B$3:$B$962,C61,[49]mensuel_section_article1!$C$3:$C$962,D61)</f>
        <v>#VALUE!</v>
      </c>
      <c r="H61" s="60">
        <v>538000</v>
      </c>
      <c r="I61" s="60">
        <v>538000</v>
      </c>
      <c r="J61" s="60">
        <v>436750</v>
      </c>
      <c r="K61" s="60">
        <f t="shared" si="28"/>
        <v>101250</v>
      </c>
      <c r="L61" s="61">
        <f t="shared" si="25"/>
        <v>0.81180297397769519</v>
      </c>
      <c r="M61" s="60"/>
      <c r="N61" s="24"/>
      <c r="O61" s="9"/>
      <c r="Q61" s="63"/>
      <c r="R61" s="8"/>
      <c r="AK61" s="64"/>
      <c r="AL61" s="64"/>
      <c r="AM61" s="64"/>
      <c r="AN61" s="64"/>
      <c r="AO61" s="11">
        <v>1112112</v>
      </c>
      <c r="AP61" s="65" t="str">
        <f t="shared" si="29"/>
        <v>11121127</v>
      </c>
      <c r="AQ61" s="80">
        <f>3499999.92-AP61</f>
        <v>-7621127.0800000001</v>
      </c>
    </row>
    <row r="62" spans="1:44" s="62" customFormat="1" ht="27.75" customHeight="1" thickTop="1" thickBot="1" x14ac:dyDescent="0.3">
      <c r="A62" s="56" t="s">
        <v>22</v>
      </c>
      <c r="B62" s="56" t="s">
        <v>22</v>
      </c>
      <c r="C62" s="57">
        <f t="shared" si="26"/>
        <v>1112112</v>
      </c>
      <c r="D62" s="58">
        <v>9</v>
      </c>
      <c r="E62" s="59" t="str">
        <f t="shared" si="27"/>
        <v>AUTRES DEPENSES PUBLIQUES</v>
      </c>
      <c r="F62" s="60" t="e">
        <f>SUMIFS([49]mensuel_section_article1!$E$3:$E$962,[49]mensuel_section_article1!$B$3:$B$962,C62,[49]mensuel_section_article1!$C$3:$C$962,D62)</f>
        <v>#VALUE!</v>
      </c>
      <c r="G62" s="60" t="e">
        <f>SUMIFS([49]mensuel_section_article1!$G$3:$G$962,[49]mensuel_section_article1!$B$3:$B$962,C62,[49]mensuel_section_article1!$C$3:$C$962,D62)</f>
        <v>#VALUE!</v>
      </c>
      <c r="H62" s="60">
        <v>412768635.2744</v>
      </c>
      <c r="I62" s="60">
        <v>416858155.30000001</v>
      </c>
      <c r="J62" s="60">
        <v>380671262.81</v>
      </c>
      <c r="K62" s="60">
        <f t="shared" si="28"/>
        <v>32097372.464399993</v>
      </c>
      <c r="L62" s="61">
        <f t="shared" si="25"/>
        <v>0.92223882891910547</v>
      </c>
      <c r="M62" s="60"/>
      <c r="N62" s="24"/>
      <c r="O62" s="9"/>
      <c r="Q62" s="66"/>
      <c r="R62" s="8"/>
      <c r="AK62" s="64"/>
      <c r="AL62" s="64"/>
      <c r="AM62" s="64"/>
      <c r="AN62" s="64"/>
      <c r="AO62" s="11">
        <v>1112112</v>
      </c>
      <c r="AP62" s="65" t="str">
        <f t="shared" si="29"/>
        <v>11121129</v>
      </c>
    </row>
    <row r="63" spans="1:44" s="1" customFormat="1" ht="27.75" customHeight="1" thickTop="1" thickBot="1" x14ac:dyDescent="0.3">
      <c r="A63" s="50" t="s">
        <v>20</v>
      </c>
      <c r="B63" s="50" t="s">
        <v>20</v>
      </c>
      <c r="C63" s="50" t="s">
        <v>20</v>
      </c>
      <c r="D63" s="51">
        <v>1112119</v>
      </c>
      <c r="E63" s="67" t="s">
        <v>28</v>
      </c>
      <c r="F63" s="68" t="e">
        <f>SUMIF($B$64:$B$66,"article",F64:F66)</f>
        <v>#VALUE!</v>
      </c>
      <c r="G63" s="68" t="e">
        <f>SUMIF($B$64:$B$66,"article",G64:G66)</f>
        <v>#VALUE!</v>
      </c>
      <c r="H63" s="68">
        <f>SUMIF($B$64:$B$66,"article",H64:H66)</f>
        <v>100000000.324</v>
      </c>
      <c r="I63" s="68">
        <v>100000000.3</v>
      </c>
      <c r="J63" s="68">
        <f>SUMIF($B$64:$B$66,"article",J64:J66)</f>
        <v>97304566.420000002</v>
      </c>
      <c r="K63" s="68">
        <f>SUMIF($B$64:$B$66,"article",K64:K66)</f>
        <v>2695433.9039999992</v>
      </c>
      <c r="L63" s="69">
        <f t="shared" si="25"/>
        <v>0.97304566104733203</v>
      </c>
      <c r="M63" s="68"/>
      <c r="N63" s="68"/>
      <c r="O63" s="9"/>
      <c r="Q63" s="23"/>
      <c r="AK63" s="70"/>
      <c r="AL63" s="70"/>
      <c r="AM63" s="70"/>
      <c r="AN63" s="70"/>
      <c r="AO63" s="11">
        <v>1112119</v>
      </c>
    </row>
    <row r="64" spans="1:44" s="62" customFormat="1" ht="27.75" customHeight="1" thickTop="1" thickBot="1" x14ac:dyDescent="0.3">
      <c r="A64" s="56" t="s">
        <v>22</v>
      </c>
      <c r="B64" s="56" t="s">
        <v>22</v>
      </c>
      <c r="C64" s="57">
        <f>IF(A63="SECTION",D63,C63)</f>
        <v>1112119</v>
      </c>
      <c r="D64" s="58">
        <v>1</v>
      </c>
      <c r="E64" s="59" t="str">
        <f>IF(D64=1, "DEPENSES DE PERSONNEL",  +IF(D64=2,"DEPENSES DE SERVICES ET CHARGES DIVERSES", +IF(D64=3,"ACHATS DE BIENS DE CONSOMMATION ET PETITS MATERIELS",+IF(D64=4,"IMMOBILISATION CORPORELLE",+IF(D64=5,"IMMOBILISATION INCORPORELLE",+IF(D64=7,"SUBVENTIONS,QUOTES-PARTS ET CONTRIB.,ALLOC, INDEMNISATIONS",+IF(D64=8,"AMORTISSEMENT DE LA DETTE",+IF(D64=9,"AUTRES DEPENSES PUBLIQUES",0))))))))</f>
        <v>DEPENSES DE PERSONNEL</v>
      </c>
      <c r="F64" s="60" t="e">
        <f>SUMIFS([49]mensuel_section_article1!$E$3:$E$962,[49]mensuel_section_article1!$B$3:$B$962,C64,[49]mensuel_section_article1!$C$3:$C$962,D64)</f>
        <v>#VALUE!</v>
      </c>
      <c r="G64" s="60" t="e">
        <f>SUMIFS([49]mensuel_section_article1!$G$3:$G$962,[49]mensuel_section_article1!$B$3:$B$962,C64,[49]mensuel_section_article1!$C$3:$C$962,D64)</f>
        <v>#VALUE!</v>
      </c>
      <c r="H64" s="60">
        <v>39000000</v>
      </c>
      <c r="I64" s="60">
        <v>39000000</v>
      </c>
      <c r="J64" s="60">
        <v>38933966.25</v>
      </c>
      <c r="K64" s="60">
        <f t="shared" ref="K64:K66" si="30">+H64-J64</f>
        <v>66033.75</v>
      </c>
      <c r="L64" s="61">
        <f t="shared" si="25"/>
        <v>0.99830682692307693</v>
      </c>
      <c r="M64" s="60"/>
      <c r="N64" s="24"/>
      <c r="O64" s="9"/>
      <c r="Q64" s="63"/>
      <c r="R64" s="8"/>
      <c r="AK64" s="64"/>
      <c r="AL64" s="64"/>
      <c r="AM64" s="64"/>
      <c r="AN64" s="64"/>
      <c r="AO64" s="11">
        <v>1112119</v>
      </c>
      <c r="AP64" s="65" t="str">
        <f>CONCATENATE(AO64,D64)</f>
        <v>11121191</v>
      </c>
    </row>
    <row r="65" spans="1:42" s="62" customFormat="1" ht="27.75" customHeight="1" thickTop="1" thickBot="1" x14ac:dyDescent="0.3">
      <c r="A65" s="56" t="s">
        <v>22</v>
      </c>
      <c r="B65" s="56" t="s">
        <v>22</v>
      </c>
      <c r="C65" s="57">
        <f>IF(A63="SECTION",D63,C63)</f>
        <v>1112119</v>
      </c>
      <c r="D65" s="58">
        <v>2</v>
      </c>
      <c r="E65" s="59" t="str">
        <f>IF(D65=1, "DEPENSES DE PERSONNEL",  +IF(D65=2,"DEPENSES DE SERVICES ET CHARGES DIVERSES", +IF(D65=3,"ACHATS DE BIENS DE CONSOMMATION ET PETITS MATERIELS",+IF(D65=4,"IMMOBILISATION CORPORELLE",+IF(D65=5,"IMMOBILISATION INCORPORELLE",+IF(D65=7,"SUBVENTIONS,QUOTES-PARTS ET CONTRIB.,ALLOC, INDEMNISATIONS",+IF(D65=8,"AMORTISSEMENT DE LA DETTE",+IF(D65=9,"AUTRES DEPENSES PUBLIQUES",0))))))))</f>
        <v>DEPENSES DE SERVICES ET CHARGES DIVERSES</v>
      </c>
      <c r="F65" s="60" t="e">
        <f>SUMIFS([49]mensuel_section_article1!$E$3:$E$962,[49]mensuel_section_article1!$B$3:$B$962,C65,[49]mensuel_section_article1!$C$3:$C$962,D65)</f>
        <v>#VALUE!</v>
      </c>
      <c r="G65" s="60" t="e">
        <f>SUMIFS([49]mensuel_section_article1!$G$3:$G$962,[49]mensuel_section_article1!$B$3:$B$962,C65,[49]mensuel_section_article1!$C$3:$C$962,D65)</f>
        <v>#VALUE!</v>
      </c>
      <c r="H65" s="60">
        <v>61000000.324000001</v>
      </c>
      <c r="I65" s="60">
        <v>61000000.299999997</v>
      </c>
      <c r="J65" s="60">
        <v>58370600.170000002</v>
      </c>
      <c r="K65" s="60">
        <f t="shared" si="30"/>
        <v>2629400.1539999992</v>
      </c>
      <c r="L65" s="61">
        <f t="shared" si="25"/>
        <v>0.95689507967157372</v>
      </c>
      <c r="M65" s="60"/>
      <c r="N65" s="24"/>
      <c r="O65" s="9"/>
      <c r="Q65" s="63"/>
      <c r="AK65" s="64"/>
      <c r="AL65" s="64"/>
      <c r="AM65" s="64"/>
      <c r="AN65" s="64"/>
      <c r="AO65" s="11">
        <v>1112119</v>
      </c>
      <c r="AP65" s="65" t="str">
        <f>CONCATENATE(AO65,D65)</f>
        <v>11121192</v>
      </c>
    </row>
    <row r="66" spans="1:42" s="62" customFormat="1" ht="27.75" hidden="1" customHeight="1" thickTop="1" thickBot="1" x14ac:dyDescent="0.3">
      <c r="A66" s="56" t="s">
        <v>22</v>
      </c>
      <c r="B66" s="56" t="s">
        <v>22</v>
      </c>
      <c r="C66" s="57">
        <f>IF(A64="SECTION",D64,C64)</f>
        <v>1112119</v>
      </c>
      <c r="D66" s="58">
        <v>7</v>
      </c>
      <c r="E66" s="59" t="str">
        <f>IF(D66=1, "DEPENSES DE PERSONNEL",  +IF(D66=2,"DEPENSES DE SERVICES ET CHARGES DIVERSES", +IF(D66=3,"ACHATS DE BIENS DE CONSOMMATION ET PETITS MATERIELS",+IF(D66=4,"IMMOBILISATION CORPORELLE",+IF(D66=5,"IMMOBILISATION INCORPORELLE",+IF(D66=7,"SUBVENTIONS,QUOTES-PARTS ET CONTRIB.,ALLOC, INDEMNISATIONS",+IF(D66=8,"AMORTISSEMENT DE LA DETTE",+IF(D66=9,"AUTRES DEPENSES PUBLIQUES",0))))))))</f>
        <v>SUBVENTIONS,QUOTES-PARTS ET CONTRIB.,ALLOC, INDEMNISATIONS</v>
      </c>
      <c r="F66" s="60" t="e">
        <f>SUMIFS([49]mensuel_section_article1!$E$3:$E$962,[49]mensuel_section_article1!$B$3:$B$962,C66,[49]mensuel_section_article1!$C$3:$C$962,D66)</f>
        <v>#VALUE!</v>
      </c>
      <c r="G66" s="60" t="e">
        <f>SUMIFS([49]mensuel_section_article1!$G$3:$G$962,[49]mensuel_section_article1!$B$3:$B$962,C66,[49]mensuel_section_article1!$C$3:$C$962,D66)</f>
        <v>#VALUE!</v>
      </c>
      <c r="H66" s="60">
        <v>0</v>
      </c>
      <c r="I66" s="60">
        <v>0</v>
      </c>
      <c r="J66" s="60">
        <v>0</v>
      </c>
      <c r="K66" s="60">
        <f t="shared" si="30"/>
        <v>0</v>
      </c>
      <c r="L66" s="61" t="e">
        <f>IF(F66&lt;&gt;0,K66/F66,0)</f>
        <v>#VALUE!</v>
      </c>
      <c r="M66" s="60" t="e">
        <f>+SUMIFS([51]section_article!$H$10:$H$936,[51]section_article!$C$10:$C$936,C66,[51]section_article!$D$10:$D$936,D66)</f>
        <v>#VALUE!</v>
      </c>
      <c r="N66" s="24" t="e">
        <f>+J66-M66</f>
        <v>#VALUE!</v>
      </c>
      <c r="O66" s="9"/>
      <c r="Q66" s="63"/>
      <c r="AK66" s="64"/>
      <c r="AL66" s="64"/>
      <c r="AM66" s="64"/>
      <c r="AN66" s="64"/>
      <c r="AO66" s="11">
        <v>1112119</v>
      </c>
      <c r="AP66" s="65" t="str">
        <f>CONCATENATE(AO66,D66)</f>
        <v>11121197</v>
      </c>
    </row>
    <row r="67" spans="1:42" s="1" customFormat="1" ht="27.75" customHeight="1" thickTop="1" thickBot="1" x14ac:dyDescent="0.3">
      <c r="A67" s="50" t="s">
        <v>20</v>
      </c>
      <c r="B67" s="50" t="s">
        <v>20</v>
      </c>
      <c r="C67" s="50" t="s">
        <v>20</v>
      </c>
      <c r="D67" s="51">
        <v>1112121</v>
      </c>
      <c r="E67" s="67" t="s">
        <v>29</v>
      </c>
      <c r="F67" s="68" t="e">
        <f>SUMIF($B$68:$B$70,"article",F68:F70)</f>
        <v>#VALUE!</v>
      </c>
      <c r="G67" s="68" t="e">
        <f>SUMIF($B$68:$B$70,"article",G68:G70)</f>
        <v>#VALUE!</v>
      </c>
      <c r="H67" s="68">
        <f>SUMIF($B$68:$B$70,"article",H68:H70)</f>
        <v>184198893</v>
      </c>
      <c r="I67" s="68">
        <v>184198893.00000003</v>
      </c>
      <c r="J67" s="68">
        <f>SUMIF($B$68:$B$70,"article",J68:J70)</f>
        <v>184197820.74000001</v>
      </c>
      <c r="K67" s="68">
        <f>SUMIF($B$68:$B$70,"article",K68:K70)</f>
        <v>1072.2600000053644</v>
      </c>
      <c r="L67" s="69">
        <f>+J67/H67</f>
        <v>0.99999417879237751</v>
      </c>
      <c r="M67" s="68"/>
      <c r="N67" s="68"/>
      <c r="O67" s="9"/>
      <c r="Q67" s="23"/>
      <c r="AK67" s="70"/>
      <c r="AL67" s="70"/>
      <c r="AM67" s="70"/>
      <c r="AN67" s="70"/>
      <c r="AO67" s="11">
        <v>1112121</v>
      </c>
    </row>
    <row r="68" spans="1:42" s="62" customFormat="1" ht="27.75" customHeight="1" thickTop="1" thickBot="1" x14ac:dyDescent="0.3">
      <c r="A68" s="56" t="s">
        <v>22</v>
      </c>
      <c r="B68" s="56" t="s">
        <v>22</v>
      </c>
      <c r="C68" s="57">
        <f>IF(A67="SECTION",D67,C67)</f>
        <v>1112121</v>
      </c>
      <c r="D68" s="58">
        <v>1</v>
      </c>
      <c r="E68" s="59" t="str">
        <f>IF(D68=1, "DEPENSES DE PERSONNEL",  +IF(D68=2,"DEPENSES DE SERVICES ET CHARGES DIVERSES", +IF(D68=3,"ACHATS DE BIENS DE CONSOMMATION ET PETITS MATERIELS",+IF(D68=4,"IMMOBILISATION CORPORELLE",+IF(D68=5,"IMMOBILISATION INCORPORELLE",+IF(D68=7,"SUBVENTIONS,QUOTES-PARTS ET CONTRIB.,ALLOC, INDEMNISATIONS",+IF(D68=8,"AMORTISSEMENT DE LA DETTE",+IF(D68=9,"AUTRES DEPENSES PUBLIQUES",0))))))))</f>
        <v>DEPENSES DE PERSONNEL</v>
      </c>
      <c r="F68" s="60" t="e">
        <f>SUMIFS([49]mensuel_section_article1!$E$3:$E$962,[49]mensuel_section_article1!$B$3:$B$962,C68,[49]mensuel_section_article1!$C$3:$C$962,D68)</f>
        <v>#VALUE!</v>
      </c>
      <c r="G68" s="60" t="e">
        <f>SUMIFS([49]mensuel_section_article1!$G$3:$G$962,[49]mensuel_section_article1!$B$3:$B$962,C68,[49]mensuel_section_article1!$C$3:$C$962,D68)</f>
        <v>#VALUE!</v>
      </c>
      <c r="H68" s="60">
        <v>105839225.10000001</v>
      </c>
      <c r="I68" s="60">
        <v>105839225.10000002</v>
      </c>
      <c r="J68" s="60">
        <v>105839043.28</v>
      </c>
      <c r="K68" s="60">
        <f t="shared" ref="K68:K70" si="31">+H68-J68</f>
        <v>181.8200000077486</v>
      </c>
      <c r="L68" s="61">
        <f>+J68/H68</f>
        <v>0.9999982821113832</v>
      </c>
      <c r="M68" s="60"/>
      <c r="N68" s="24"/>
      <c r="O68" s="9"/>
      <c r="Q68" s="63"/>
      <c r="AK68" s="64"/>
      <c r="AL68" s="64"/>
      <c r="AM68" s="64"/>
      <c r="AN68" s="64"/>
      <c r="AO68" s="11">
        <v>1112121</v>
      </c>
      <c r="AP68" s="65" t="str">
        <f>CONCATENATE(AO68,D68)</f>
        <v>11121211</v>
      </c>
    </row>
    <row r="69" spans="1:42" s="62" customFormat="1" ht="27.75" customHeight="1" thickTop="1" thickBot="1" x14ac:dyDescent="0.3">
      <c r="A69" s="56" t="s">
        <v>22</v>
      </c>
      <c r="B69" s="56" t="s">
        <v>22</v>
      </c>
      <c r="C69" s="57">
        <f>IF(A67="SECTION",D67,C67)</f>
        <v>1112121</v>
      </c>
      <c r="D69" s="58">
        <v>2</v>
      </c>
      <c r="E69" s="59" t="str">
        <f>IF(D69=1, "DEPENSES DE PERSONNEL",  +IF(D69=2,"DEPENSES DE SERVICES ET CHARGES DIVERSES", +IF(D69=3,"ACHATS DE BIENS DE CONSOMMATION ET PETITS MATERIELS",+IF(D69=4,"IMMOBILISATION CORPORELLE",+IF(D69=5,"IMMOBILISATION INCORPORELLE",+IF(D69=7,"SUBVENTIONS,QUOTES-PARTS ET CONTRIB.,ALLOC, INDEMNISATIONS",+IF(D69=8,"AMORTISSEMENT DE LA DETTE",+IF(D69=9,"AUTRES DEPENSES PUBLIQUES",0))))))))</f>
        <v>DEPENSES DE SERVICES ET CHARGES DIVERSES</v>
      </c>
      <c r="F69" s="60" t="e">
        <f>SUMIFS([49]mensuel_section_article1!$E$3:$E$962,[49]mensuel_section_article1!$B$3:$B$962,C69,[49]mensuel_section_article1!$C$3:$C$962,D69)</f>
        <v>#VALUE!</v>
      </c>
      <c r="G69" s="60" t="e">
        <f>SUMIFS([49]mensuel_section_article1!$G$3:$G$962,[49]mensuel_section_article1!$B$3:$B$962,C69,[49]mensuel_section_article1!$C$3:$C$962,D69)</f>
        <v>#VALUE!</v>
      </c>
      <c r="H69" s="60">
        <v>78359667.899999991</v>
      </c>
      <c r="I69" s="60">
        <v>78359667.900000006</v>
      </c>
      <c r="J69" s="60">
        <v>78358777.459999993</v>
      </c>
      <c r="K69" s="60">
        <f t="shared" si="31"/>
        <v>890.43999999761581</v>
      </c>
      <c r="L69" s="61">
        <f>+J69/H69</f>
        <v>0.99998863650109981</v>
      </c>
      <c r="M69" s="60"/>
      <c r="N69" s="24"/>
      <c r="O69" s="9"/>
      <c r="Q69" s="63"/>
      <c r="AK69" s="64"/>
      <c r="AL69" s="64"/>
      <c r="AM69" s="64"/>
      <c r="AN69" s="64"/>
      <c r="AO69" s="11">
        <v>1112121</v>
      </c>
      <c r="AP69" s="65" t="str">
        <f>CONCATENATE(AO69,D69)</f>
        <v>11121212</v>
      </c>
    </row>
    <row r="70" spans="1:42" s="62" customFormat="1" ht="27.75" hidden="1" customHeight="1" thickTop="1" thickBot="1" x14ac:dyDescent="0.3">
      <c r="A70" s="56" t="s">
        <v>22</v>
      </c>
      <c r="B70" s="56" t="s">
        <v>22</v>
      </c>
      <c r="C70" s="57">
        <f>IF(A68="SECTION",D68,C68)</f>
        <v>1112121</v>
      </c>
      <c r="D70" s="58">
        <v>7</v>
      </c>
      <c r="E70" s="59" t="str">
        <f>IF(D70=1, "DEPENSES DE PERSONNEL",  +IF(D70=2,"DEPENSES DE SERVICES ET CHARGES DIVERSES", +IF(D70=3,"ACHATS DE BIENS DE CONSOMMATION ET PETITS MATERIELS",+IF(D70=4,"IMMOBILISATION CORPORELLE",+IF(D70=5,"IMMOBILISATION INCORPORELLE",+IF(D70=7,"SUBVENTIONS,QUOTES-PARTS ET CONTRIB.,ALLOC, INDEMNISATIONS",+IF(D70=8,"AMORTISSEMENT DE LA DETTE",+IF(D70=9,"AUTRES DEPENSES PUBLIQUES",0))))))))</f>
        <v>SUBVENTIONS,QUOTES-PARTS ET CONTRIB.,ALLOC, INDEMNISATIONS</v>
      </c>
      <c r="F70" s="60" t="e">
        <f>SUMIFS([49]mensuel_section_article1!$E$3:$E$962,[49]mensuel_section_article1!$B$3:$B$962,C70,[49]mensuel_section_article1!$C$3:$C$962,D70)</f>
        <v>#VALUE!</v>
      </c>
      <c r="G70" s="60" t="e">
        <f>SUMIFS([49]mensuel_section_article1!$G$3:$G$962,[49]mensuel_section_article1!$B$3:$B$962,C70,[49]mensuel_section_article1!$C$3:$C$962,D70)</f>
        <v>#VALUE!</v>
      </c>
      <c r="H70" s="60">
        <v>0</v>
      </c>
      <c r="I70" s="60">
        <v>0</v>
      </c>
      <c r="J70" s="60">
        <v>0</v>
      </c>
      <c r="K70" s="60">
        <f t="shared" si="31"/>
        <v>0</v>
      </c>
      <c r="L70" s="61" t="e">
        <f>IF(F70&lt;&gt;0,K70/F70,0)</f>
        <v>#VALUE!</v>
      </c>
      <c r="M70" s="60" t="e">
        <f>+SUMIFS([51]section_article!$H$10:$H$936,[51]section_article!$C$10:$C$936,C70,[51]section_article!$D$10:$D$936,D70)</f>
        <v>#VALUE!</v>
      </c>
      <c r="N70" s="24" t="e">
        <f>+J70-M70</f>
        <v>#VALUE!</v>
      </c>
      <c r="O70" s="9"/>
      <c r="Q70" s="63"/>
      <c r="AK70" s="64"/>
      <c r="AL70" s="64"/>
      <c r="AM70" s="64"/>
      <c r="AN70" s="64"/>
      <c r="AO70" s="11">
        <v>1112121</v>
      </c>
      <c r="AP70" s="65" t="str">
        <f>CONCATENATE(AO70,D70)</f>
        <v>11121217</v>
      </c>
    </row>
    <row r="71" spans="1:42" s="1" customFormat="1" ht="27.75" customHeight="1" thickTop="1" thickBot="1" x14ac:dyDescent="0.3">
      <c r="A71" s="50" t="s">
        <v>20</v>
      </c>
      <c r="B71" s="50" t="s">
        <v>20</v>
      </c>
      <c r="C71" s="50" t="s">
        <v>20</v>
      </c>
      <c r="D71" s="51">
        <v>1112122</v>
      </c>
      <c r="E71" s="67" t="s">
        <v>30</v>
      </c>
      <c r="F71" s="68" t="e">
        <f>SUMIF($B$72:$B$78,"article",F72:F78)</f>
        <v>#VALUE!</v>
      </c>
      <c r="G71" s="68" t="e">
        <f>SUMIF($B$72:$B$78,"article",G72:G78)</f>
        <v>#VALUE!</v>
      </c>
      <c r="H71" s="68">
        <f>SUMIF($B$72:$B$78,"article",H72:H78)</f>
        <v>71999999.920000002</v>
      </c>
      <c r="I71" s="68">
        <v>71999999.900000006</v>
      </c>
      <c r="J71" s="68">
        <f>SUMIF($B$72:$B$78,"article",J72:J78)</f>
        <v>71997643.609999999</v>
      </c>
      <c r="K71" s="68">
        <f>SUMIF($B$72:$B$78,"article",K72:K78)</f>
        <v>2356.3100000023842</v>
      </c>
      <c r="L71" s="69">
        <f>+J71/H71</f>
        <v>0.99996727347218584</v>
      </c>
      <c r="M71" s="68"/>
      <c r="N71" s="68"/>
      <c r="O71" s="9"/>
      <c r="Q71" s="23"/>
      <c r="AK71" s="70"/>
      <c r="AL71" s="70"/>
      <c r="AM71" s="70"/>
      <c r="AN71" s="70"/>
      <c r="AO71" s="11">
        <v>1112122</v>
      </c>
    </row>
    <row r="72" spans="1:42" s="62" customFormat="1" ht="27.75" customHeight="1" thickTop="1" thickBot="1" x14ac:dyDescent="0.3">
      <c r="A72" s="56" t="s">
        <v>22</v>
      </c>
      <c r="B72" s="56" t="s">
        <v>22</v>
      </c>
      <c r="C72" s="57">
        <f t="shared" ref="C72:C78" si="32">IF(A71="SECTION",D71,C71)</f>
        <v>1112122</v>
      </c>
      <c r="D72" s="58">
        <v>1</v>
      </c>
      <c r="E72" s="59" t="str">
        <f t="shared" ref="E72:E78" si="33">IF(D72=1, "DEPENSES DE PERSONNEL",  +IF(D72=2,"DEPENSES DE SERVICES ET CHARGES DIVERSES", +IF(D72=3,"ACHATS DE BIENS DE CONSOMMATION ET PETITS MATERIELS",+IF(D72=4,"IMMOBILISATION CORPORELLE",+IF(D72=5,"IMMOBILISATION INCORPORELLE",+IF(D72=7,"SUBVENTIONS,QUOTES-PARTS ET CONTRIB.,ALLOC, INDEMNISATIONS",+IF(D72=8,"AMORTISSEMENT DE LA DETTE",+IF(D72=9,"AUTRES DEPENSES PUBLIQUES",0))))))))</f>
        <v>DEPENSES DE PERSONNEL</v>
      </c>
      <c r="F72" s="60" t="e">
        <f>SUMIFS([49]mensuel_section_article1!$E$3:$E$962,[49]mensuel_section_article1!$B$3:$B$962,C72,[49]mensuel_section_article1!$C$3:$C$962,D72)</f>
        <v>#VALUE!</v>
      </c>
      <c r="G72" s="60" t="e">
        <f>SUMIFS([49]mensuel_section_article1!$G$3:$G$962,[49]mensuel_section_article1!$B$3:$B$962,C72,[49]mensuel_section_article1!$C$3:$C$962,D72)</f>
        <v>#VALUE!</v>
      </c>
      <c r="H72" s="60">
        <v>32516012.490000002</v>
      </c>
      <c r="I72" s="60">
        <v>32516012.5</v>
      </c>
      <c r="J72" s="60">
        <v>32513704.109999999</v>
      </c>
      <c r="K72" s="60">
        <f t="shared" ref="K72:K78" si="34">+H72-J72</f>
        <v>2308.3800000026822</v>
      </c>
      <c r="L72" s="61">
        <f>+J72/H72</f>
        <v>0.99992900790031647</v>
      </c>
      <c r="M72" s="60"/>
      <c r="N72" s="24"/>
      <c r="O72" s="9"/>
      <c r="Q72" s="63"/>
      <c r="AK72" s="64"/>
      <c r="AL72" s="64"/>
      <c r="AM72" s="64"/>
      <c r="AN72" s="64"/>
      <c r="AO72" s="11">
        <v>1112122</v>
      </c>
      <c r="AP72" s="65" t="str">
        <f t="shared" ref="AP72:AP78" si="35">CONCATENATE(AO72,D72)</f>
        <v>11121221</v>
      </c>
    </row>
    <row r="73" spans="1:42" s="62" customFormat="1" ht="27.75" customHeight="1" thickTop="1" thickBot="1" x14ac:dyDescent="0.3">
      <c r="A73" s="56" t="s">
        <v>22</v>
      </c>
      <c r="B73" s="56" t="s">
        <v>22</v>
      </c>
      <c r="C73" s="57">
        <f t="shared" si="32"/>
        <v>1112122</v>
      </c>
      <c r="D73" s="58">
        <v>2</v>
      </c>
      <c r="E73" s="59" t="str">
        <f t="shared" si="33"/>
        <v>DEPENSES DE SERVICES ET CHARGES DIVERSES</v>
      </c>
      <c r="F73" s="60" t="e">
        <f>SUMIFS([49]mensuel_section_article1!$E$3:$E$962,[49]mensuel_section_article1!$B$3:$B$962,C73,[49]mensuel_section_article1!$C$3:$C$962,D73)</f>
        <v>#VALUE!</v>
      </c>
      <c r="G73" s="60" t="e">
        <f>SUMIFS([49]mensuel_section_article1!$G$3:$G$962,[49]mensuel_section_article1!$B$3:$B$962,C73,[49]mensuel_section_article1!$C$3:$C$962,D73)</f>
        <v>#VALUE!</v>
      </c>
      <c r="H73" s="60">
        <v>39483987.43</v>
      </c>
      <c r="I73" s="60">
        <v>39483987.399999999</v>
      </c>
      <c r="J73" s="60">
        <v>39483939.5</v>
      </c>
      <c r="K73" s="60">
        <f t="shared" si="34"/>
        <v>47.929999999701977</v>
      </c>
      <c r="L73" s="61">
        <f>+J73/H73</f>
        <v>0.99999878609018189</v>
      </c>
      <c r="M73" s="60"/>
      <c r="N73" s="24"/>
      <c r="O73" s="9"/>
      <c r="Q73" s="63"/>
      <c r="AK73" s="64"/>
      <c r="AL73" s="64"/>
      <c r="AM73" s="64"/>
      <c r="AN73" s="64"/>
      <c r="AO73" s="11">
        <v>1112122</v>
      </c>
      <c r="AP73" s="65" t="str">
        <f t="shared" si="35"/>
        <v>11121222</v>
      </c>
    </row>
    <row r="74" spans="1:42" s="62" customFormat="1" ht="27.75" hidden="1" customHeight="1" thickTop="1" thickBot="1" x14ac:dyDescent="0.3">
      <c r="A74" s="56" t="s">
        <v>22</v>
      </c>
      <c r="B74" s="56" t="s">
        <v>22</v>
      </c>
      <c r="C74" s="57">
        <f t="shared" si="32"/>
        <v>1112122</v>
      </c>
      <c r="D74" s="58">
        <v>3</v>
      </c>
      <c r="E74" s="59" t="str">
        <f t="shared" si="33"/>
        <v>ACHATS DE BIENS DE CONSOMMATION ET PETITS MATERIELS</v>
      </c>
      <c r="F74" s="60" t="e">
        <f>SUMIFS([49]mensuel_section_article1!$E$3:$E$962,[49]mensuel_section_article1!$B$3:$B$962,C74,[49]mensuel_section_article1!$C$3:$C$962,D74)</f>
        <v>#VALUE!</v>
      </c>
      <c r="G74" s="60" t="e">
        <f>SUMIFS([49]mensuel_section_article1!$G$3:$G$962,[49]mensuel_section_article1!$B$3:$B$962,C74,[49]mensuel_section_article1!$C$3:$C$962,D74)</f>
        <v>#VALUE!</v>
      </c>
      <c r="H74" s="60">
        <v>0</v>
      </c>
      <c r="I74" s="60">
        <v>0</v>
      </c>
      <c r="J74" s="60">
        <v>0</v>
      </c>
      <c r="K74" s="60">
        <f t="shared" si="34"/>
        <v>0</v>
      </c>
      <c r="L74" s="61" t="e">
        <f t="shared" ref="L74:L82" si="36">IF(F74&lt;&gt;0,K74/F74,0)</f>
        <v>#VALUE!</v>
      </c>
      <c r="M74" s="60" t="e">
        <f>+SUMIFS([51]section_article!$H$10:$H$936,[51]section_article!$C$10:$C$936,C74,[51]section_article!$D$10:$D$936,D74)</f>
        <v>#VALUE!</v>
      </c>
      <c r="N74" s="24" t="e">
        <f t="shared" ref="N72:N78" si="37">+J74-M74</f>
        <v>#VALUE!</v>
      </c>
      <c r="O74" s="9"/>
      <c r="Q74" s="63"/>
      <c r="AK74" s="64"/>
      <c r="AL74" s="64"/>
      <c r="AM74" s="64"/>
      <c r="AN74" s="64"/>
      <c r="AO74" s="11">
        <v>1112122</v>
      </c>
      <c r="AP74" s="65" t="str">
        <f t="shared" si="35"/>
        <v>11121223</v>
      </c>
    </row>
    <row r="75" spans="1:42" s="62" customFormat="1" ht="27.75" hidden="1" customHeight="1" thickTop="1" thickBot="1" x14ac:dyDescent="0.3">
      <c r="A75" s="56" t="s">
        <v>22</v>
      </c>
      <c r="B75" s="56" t="s">
        <v>22</v>
      </c>
      <c r="C75" s="57">
        <f t="shared" si="32"/>
        <v>1112122</v>
      </c>
      <c r="D75" s="58">
        <v>4</v>
      </c>
      <c r="E75" s="59" t="str">
        <f t="shared" si="33"/>
        <v>IMMOBILISATION CORPORELLE</v>
      </c>
      <c r="F75" s="60" t="e">
        <f>SUMIFS([49]mensuel_section_article1!$E$3:$E$962,[49]mensuel_section_article1!$B$3:$B$962,C75,[49]mensuel_section_article1!$C$3:$C$962,D75)</f>
        <v>#VALUE!</v>
      </c>
      <c r="G75" s="60" t="e">
        <f>SUMIFS([49]mensuel_section_article1!$G$3:$G$962,[49]mensuel_section_article1!$B$3:$B$962,C75,[49]mensuel_section_article1!$C$3:$C$962,D75)</f>
        <v>#VALUE!</v>
      </c>
      <c r="H75" s="60">
        <v>0</v>
      </c>
      <c r="I75" s="60">
        <v>0</v>
      </c>
      <c r="J75" s="60">
        <v>0</v>
      </c>
      <c r="K75" s="60">
        <f t="shared" si="34"/>
        <v>0</v>
      </c>
      <c r="L75" s="61" t="e">
        <f t="shared" si="36"/>
        <v>#VALUE!</v>
      </c>
      <c r="M75" s="60" t="e">
        <f>+SUMIFS([51]section_article!$H$10:$H$936,[51]section_article!$C$10:$C$936,C75,[51]section_article!$D$10:$D$936,D75)</f>
        <v>#VALUE!</v>
      </c>
      <c r="N75" s="24" t="e">
        <f t="shared" si="37"/>
        <v>#VALUE!</v>
      </c>
      <c r="O75" s="9"/>
      <c r="Q75" s="63"/>
      <c r="AK75" s="64"/>
      <c r="AL75" s="64"/>
      <c r="AM75" s="64"/>
      <c r="AN75" s="64"/>
      <c r="AO75" s="11">
        <v>1112122</v>
      </c>
      <c r="AP75" s="65" t="str">
        <f t="shared" si="35"/>
        <v>11121224</v>
      </c>
    </row>
    <row r="76" spans="1:42" s="62" customFormat="1" ht="27.75" hidden="1" customHeight="1" thickTop="1" thickBot="1" x14ac:dyDescent="0.3">
      <c r="A76" s="56" t="s">
        <v>22</v>
      </c>
      <c r="B76" s="56" t="s">
        <v>22</v>
      </c>
      <c r="C76" s="57">
        <f t="shared" si="32"/>
        <v>1112122</v>
      </c>
      <c r="D76" s="58">
        <v>5</v>
      </c>
      <c r="E76" s="59" t="str">
        <f t="shared" si="33"/>
        <v>IMMOBILISATION INCORPORELLE</v>
      </c>
      <c r="F76" s="60" t="e">
        <f>SUMIFS([49]mensuel_section_article1!$E$3:$E$962,[49]mensuel_section_article1!$B$3:$B$962,C76,[49]mensuel_section_article1!$C$3:$C$962,D76)</f>
        <v>#VALUE!</v>
      </c>
      <c r="G76" s="60" t="e">
        <f>SUMIFS([49]mensuel_section_article1!$G$3:$G$962,[49]mensuel_section_article1!$B$3:$B$962,C76,[49]mensuel_section_article1!$C$3:$C$962,D76)</f>
        <v>#VALUE!</v>
      </c>
      <c r="H76" s="60">
        <v>0</v>
      </c>
      <c r="I76" s="60">
        <v>0</v>
      </c>
      <c r="J76" s="60">
        <v>0</v>
      </c>
      <c r="K76" s="60">
        <f t="shared" si="34"/>
        <v>0</v>
      </c>
      <c r="L76" s="61" t="e">
        <f t="shared" si="36"/>
        <v>#VALUE!</v>
      </c>
      <c r="M76" s="60" t="e">
        <f>+SUMIFS([51]section_article!$H$10:$H$936,[51]section_article!$C$10:$C$936,C76,[51]section_article!$D$10:$D$936,D76)</f>
        <v>#VALUE!</v>
      </c>
      <c r="N76" s="24" t="e">
        <f t="shared" si="37"/>
        <v>#VALUE!</v>
      </c>
      <c r="O76" s="9"/>
      <c r="Q76" s="63"/>
      <c r="AK76" s="64"/>
      <c r="AL76" s="64"/>
      <c r="AM76" s="64"/>
      <c r="AN76" s="64"/>
      <c r="AO76" s="11">
        <v>1112122</v>
      </c>
      <c r="AP76" s="65" t="str">
        <f t="shared" si="35"/>
        <v>11121225</v>
      </c>
    </row>
    <row r="77" spans="1:42" s="62" customFormat="1" ht="27.75" hidden="1" customHeight="1" thickTop="1" thickBot="1" x14ac:dyDescent="0.3">
      <c r="A77" s="56" t="s">
        <v>22</v>
      </c>
      <c r="B77" s="56" t="s">
        <v>22</v>
      </c>
      <c r="C77" s="57">
        <f t="shared" si="32"/>
        <v>1112122</v>
      </c>
      <c r="D77" s="58">
        <v>7</v>
      </c>
      <c r="E77" s="59" t="str">
        <f t="shared" si="33"/>
        <v>SUBVENTIONS,QUOTES-PARTS ET CONTRIB.,ALLOC, INDEMNISATIONS</v>
      </c>
      <c r="F77" s="60" t="e">
        <f>SUMIFS([49]mensuel_section_article1!$E$3:$E$962,[49]mensuel_section_article1!$B$3:$B$962,C77,[49]mensuel_section_article1!$C$3:$C$962,D77)</f>
        <v>#VALUE!</v>
      </c>
      <c r="G77" s="60" t="e">
        <f>SUMIFS([49]mensuel_section_article1!$G$3:$G$962,[49]mensuel_section_article1!$B$3:$B$962,C77,[49]mensuel_section_article1!$C$3:$C$962,D77)</f>
        <v>#VALUE!</v>
      </c>
      <c r="H77" s="60">
        <v>0</v>
      </c>
      <c r="I77" s="60">
        <v>0</v>
      </c>
      <c r="J77" s="60">
        <v>0</v>
      </c>
      <c r="K77" s="60">
        <f t="shared" si="34"/>
        <v>0</v>
      </c>
      <c r="L77" s="61" t="e">
        <f t="shared" si="36"/>
        <v>#VALUE!</v>
      </c>
      <c r="M77" s="60" t="e">
        <f>+SUMIFS([51]section_article!$H$10:$H$936,[51]section_article!$C$10:$C$936,C77,[51]section_article!$D$10:$D$936,D77)</f>
        <v>#VALUE!</v>
      </c>
      <c r="N77" s="24" t="e">
        <f t="shared" si="37"/>
        <v>#VALUE!</v>
      </c>
      <c r="O77" s="9"/>
      <c r="Q77" s="63"/>
      <c r="AK77" s="64"/>
      <c r="AL77" s="64"/>
      <c r="AM77" s="64"/>
      <c r="AN77" s="64"/>
      <c r="AO77" s="11">
        <v>1112122</v>
      </c>
      <c r="AP77" s="65" t="str">
        <f t="shared" si="35"/>
        <v>11121227</v>
      </c>
    </row>
    <row r="78" spans="1:42" s="62" customFormat="1" ht="27.75" hidden="1" customHeight="1" thickTop="1" thickBot="1" x14ac:dyDescent="0.3">
      <c r="A78" s="56" t="s">
        <v>22</v>
      </c>
      <c r="B78" s="56" t="s">
        <v>22</v>
      </c>
      <c r="C78" s="57">
        <f t="shared" si="32"/>
        <v>1112122</v>
      </c>
      <c r="D78" s="58">
        <v>9</v>
      </c>
      <c r="E78" s="59" t="str">
        <f t="shared" si="33"/>
        <v>AUTRES DEPENSES PUBLIQUES</v>
      </c>
      <c r="F78" s="60" t="e">
        <f>SUMIFS([49]mensuel_section_article1!$E$3:$E$962,[49]mensuel_section_article1!$B$3:$B$962,C78,[49]mensuel_section_article1!$C$3:$C$962,D78)</f>
        <v>#VALUE!</v>
      </c>
      <c r="G78" s="60" t="e">
        <f>SUMIFS([49]mensuel_section_article1!$G$3:$G$962,[49]mensuel_section_article1!$B$3:$B$962,C78,[49]mensuel_section_article1!$C$3:$C$962,D78)</f>
        <v>#VALUE!</v>
      </c>
      <c r="H78" s="60">
        <v>0</v>
      </c>
      <c r="I78" s="60">
        <v>0</v>
      </c>
      <c r="J78" s="60">
        <v>0</v>
      </c>
      <c r="K78" s="60">
        <f t="shared" si="34"/>
        <v>0</v>
      </c>
      <c r="L78" s="61" t="e">
        <f t="shared" si="36"/>
        <v>#VALUE!</v>
      </c>
      <c r="M78" s="60" t="e">
        <f>+SUMIFS([51]section_article!$H$10:$H$936,[51]section_article!$C$10:$C$936,C78,[51]section_article!$D$10:$D$936,D78)</f>
        <v>#VALUE!</v>
      </c>
      <c r="N78" s="24" t="e">
        <f t="shared" si="37"/>
        <v>#VALUE!</v>
      </c>
      <c r="O78" s="9"/>
      <c r="Q78" s="63"/>
      <c r="AK78" s="64"/>
      <c r="AL78" s="64"/>
      <c r="AM78" s="64"/>
      <c r="AN78" s="64"/>
      <c r="AO78" s="11">
        <v>1112122</v>
      </c>
      <c r="AP78" s="65" t="str">
        <f t="shared" si="35"/>
        <v>11121229</v>
      </c>
    </row>
    <row r="79" spans="1:42" s="1" customFormat="1" ht="27.75" hidden="1" customHeight="1" thickTop="1" thickBot="1" x14ac:dyDescent="0.3">
      <c r="A79" s="50" t="s">
        <v>20</v>
      </c>
      <c r="B79" s="50" t="s">
        <v>20</v>
      </c>
      <c r="C79" s="50" t="s">
        <v>20</v>
      </c>
      <c r="D79" s="51">
        <v>1112117</v>
      </c>
      <c r="E79" s="67" t="s">
        <v>31</v>
      </c>
      <c r="F79" s="68" t="e">
        <f>SUMIF($B$80:$B$80,"article",F80:F80)</f>
        <v>#VALUE!</v>
      </c>
      <c r="G79" s="68" t="e">
        <f>SUMIF($B$80:$B$80,"article",G80:G80)</f>
        <v>#VALUE!</v>
      </c>
      <c r="H79" s="68">
        <f>SUMIF($B$80:$B$80,"article",H80:H80)</f>
        <v>0</v>
      </c>
      <c r="I79" s="68">
        <v>0</v>
      </c>
      <c r="J79" s="68">
        <f>SUMIF($B$80:$B$80,"article",J80:J80)</f>
        <v>0</v>
      </c>
      <c r="K79" s="68">
        <f>SUMIF($B$80:$B$80,"article",K80:K80)</f>
        <v>0</v>
      </c>
      <c r="L79" s="69" t="e">
        <f t="shared" si="36"/>
        <v>#VALUE!</v>
      </c>
      <c r="M79" s="68" t="e">
        <f>SUMIF($B$80:$B$80,"article",M80:M80)</f>
        <v>#VALUE!</v>
      </c>
      <c r="N79" s="68" t="e">
        <f>SUMIF($B$80:$B$80,"article",N80:N80)</f>
        <v>#VALUE!</v>
      </c>
      <c r="O79" s="9"/>
      <c r="Q79" s="23"/>
      <c r="AK79" s="70"/>
      <c r="AL79" s="70"/>
      <c r="AM79" s="70"/>
      <c r="AN79" s="70"/>
      <c r="AO79" s="11">
        <v>1112127</v>
      </c>
    </row>
    <row r="80" spans="1:42" s="62" customFormat="1" ht="27.75" hidden="1" customHeight="1" thickTop="1" thickBot="1" x14ac:dyDescent="0.3">
      <c r="A80" s="56" t="s">
        <v>22</v>
      </c>
      <c r="B80" s="56" t="s">
        <v>22</v>
      </c>
      <c r="C80" s="57">
        <f>IF(A79="SECTION",D79,C79)</f>
        <v>1112117</v>
      </c>
      <c r="D80" s="58">
        <v>1</v>
      </c>
      <c r="E80" s="59" t="str">
        <f>IF(D80=1, "DEPENSES DE PERSONNEL",  +IF(D80=2,"DEPENSES DE SERVICES ET CHARGES DIVERSES", +IF(D80=3,"ACHATS DE BIENS DE CONSOMMATION ET PETITS MATERIELS",+IF(D80=4,"IMMOBILISATION CORPORELLE",+IF(D80=5,"IMMOBILISATION INCORPORELLE",+IF(D80=7,"SUBVENTIONS,QUOTES-PARTS ET CONTRIB.,ALLOC, INDEMNISATIONS",+IF(D80=8,"AMORTISSEMENT DE LA DETTE",+IF(D80=9,"AUTRES DEPENSES PUBLIQUES",0))))))))</f>
        <v>DEPENSES DE PERSONNEL</v>
      </c>
      <c r="F80" s="60" t="e">
        <f>SUMIFS([49]mensuel_section_article1!$E$3:$E$962,[49]mensuel_section_article1!$B$3:$B$962,C80,[49]mensuel_section_article1!$C$3:$C$962,D80)</f>
        <v>#VALUE!</v>
      </c>
      <c r="G80" s="60" t="e">
        <f>SUMIFS([49]mensuel_section_article1!$G$3:$G$962,[49]mensuel_section_article1!$B$3:$B$962,C80,[49]mensuel_section_article1!$C$3:$C$962,D80)</f>
        <v>#VALUE!</v>
      </c>
      <c r="H80" s="60">
        <v>0</v>
      </c>
      <c r="I80" s="60">
        <v>0</v>
      </c>
      <c r="J80" s="60">
        <v>0</v>
      </c>
      <c r="K80" s="60">
        <f>+H80-J80</f>
        <v>0</v>
      </c>
      <c r="L80" s="61" t="e">
        <f t="shared" si="36"/>
        <v>#VALUE!</v>
      </c>
      <c r="M80" s="60" t="e">
        <f>+SUMIFS([51]section_article!$H$10:$H$936,[51]section_article!$C$10:$C$936,C80,[51]section_article!$D$10:$D$936,D80)</f>
        <v>#VALUE!</v>
      </c>
      <c r="N80" s="24" t="e">
        <f>+J80-M80</f>
        <v>#VALUE!</v>
      </c>
      <c r="O80" s="64"/>
      <c r="P80" s="64"/>
      <c r="Q80" s="64"/>
      <c r="R80" s="64" t="e">
        <f>SUM(#REF!)</f>
        <v>#REF!</v>
      </c>
      <c r="S80" s="64" t="e">
        <f>SUM(#REF!)</f>
        <v>#REF!</v>
      </c>
      <c r="T80" s="64" t="e">
        <f>SUM(#REF!)</f>
        <v>#REF!</v>
      </c>
      <c r="U80" s="64" t="e">
        <f>SUM(#REF!)</f>
        <v>#REF!</v>
      </c>
      <c r="V80" s="64" t="e">
        <f>SUM(#REF!)</f>
        <v>#REF!</v>
      </c>
      <c r="W80" s="64" t="e">
        <f>SUM(#REF!)</f>
        <v>#REF!</v>
      </c>
      <c r="X80" s="64" t="e">
        <f>SUM(#REF!)</f>
        <v>#REF!</v>
      </c>
      <c r="Y80" s="64" t="e">
        <f>SUM(#REF!)</f>
        <v>#REF!</v>
      </c>
      <c r="Z80" s="64" t="e">
        <f>SUM(#REF!)</f>
        <v>#REF!</v>
      </c>
      <c r="AA80" s="64" t="e">
        <f>SUM(#REF!)</f>
        <v>#REF!</v>
      </c>
      <c r="AB80" s="64" t="e">
        <f>SUM(#REF!)</f>
        <v>#REF!</v>
      </c>
      <c r="AC80" s="64" t="e">
        <f>SUM(#REF!)</f>
        <v>#REF!</v>
      </c>
      <c r="AD80" s="64" t="e">
        <f>SUM(#REF!)</f>
        <v>#REF!</v>
      </c>
      <c r="AE80" s="64" t="e">
        <f>SUM(#REF!)</f>
        <v>#REF!</v>
      </c>
      <c r="AF80" s="64" t="e">
        <f>SUM(#REF!)</f>
        <v>#REF!</v>
      </c>
      <c r="AG80" s="64" t="e">
        <f>SUM(#REF!)</f>
        <v>#REF!</v>
      </c>
      <c r="AH80" s="64" t="e">
        <f>SUM(#REF!)</f>
        <v>#REF!</v>
      </c>
      <c r="AI80" s="64" t="e">
        <f>SUM(#REF!)</f>
        <v>#REF!</v>
      </c>
      <c r="AJ80" s="64" t="e">
        <f>SUM(#REF!)</f>
        <v>#REF!</v>
      </c>
      <c r="AK80" s="64"/>
      <c r="AL80" s="64"/>
      <c r="AM80" s="64"/>
      <c r="AN80" s="64" t="e">
        <f>SUM(#REF!)</f>
        <v>#REF!</v>
      </c>
      <c r="AO80" s="11">
        <v>1112127</v>
      </c>
      <c r="AP80" s="65" t="str">
        <f>CONCATENATE(AO80,D80)</f>
        <v>11121271</v>
      </c>
    </row>
    <row r="81" spans="1:42" s="1" customFormat="1" ht="27.75" hidden="1" customHeight="1" thickTop="1" thickBot="1" x14ac:dyDescent="0.3">
      <c r="A81" s="50" t="s">
        <v>20</v>
      </c>
      <c r="B81" s="50" t="s">
        <v>20</v>
      </c>
      <c r="C81" s="50" t="s">
        <v>20</v>
      </c>
      <c r="D81" s="51">
        <v>1112128</v>
      </c>
      <c r="E81" s="67" t="s">
        <v>32</v>
      </c>
      <c r="F81" s="68" t="e">
        <f>SUMIF($B$82:$B$82,"article",F82:F82)</f>
        <v>#VALUE!</v>
      </c>
      <c r="G81" s="68" t="e">
        <f>SUMIF($B$82:$B$82,"article",G82:G82)</f>
        <v>#VALUE!</v>
      </c>
      <c r="H81" s="68">
        <f>SUMIF($B$82:$B$82,"article",H82:H82)</f>
        <v>0</v>
      </c>
      <c r="I81" s="68">
        <v>0</v>
      </c>
      <c r="J81" s="68">
        <f>SUMIF($B$82:$B$82,"article",J82:J82)</f>
        <v>0</v>
      </c>
      <c r="K81" s="68">
        <f>SUMIF($B$82:$B$82,"article",K82:K82)</f>
        <v>0</v>
      </c>
      <c r="L81" s="69" t="e">
        <f t="shared" si="36"/>
        <v>#VALUE!</v>
      </c>
      <c r="M81" s="68" t="e">
        <f>SUMIF($B$82:$B$82,"article",M82:M82)</f>
        <v>#VALUE!</v>
      </c>
      <c r="N81" s="68" t="e">
        <f>SUMIF($B$82:$B$82,"article",N82:N82)</f>
        <v>#VALUE!</v>
      </c>
      <c r="O81" s="9"/>
      <c r="Q81" s="23"/>
      <c r="AK81" s="70"/>
      <c r="AL81" s="70"/>
      <c r="AM81" s="70"/>
      <c r="AN81" s="70"/>
      <c r="AO81" s="11">
        <v>1112128</v>
      </c>
    </row>
    <row r="82" spans="1:42" s="62" customFormat="1" ht="27.75" hidden="1" customHeight="1" thickTop="1" thickBot="1" x14ac:dyDescent="0.3">
      <c r="A82" s="56" t="s">
        <v>22</v>
      </c>
      <c r="B82" s="56" t="s">
        <v>22</v>
      </c>
      <c r="C82" s="57">
        <f>IF(A81="SECTION",D81,C81)</f>
        <v>1112128</v>
      </c>
      <c r="D82" s="58">
        <v>7</v>
      </c>
      <c r="E82" s="59" t="str">
        <f>IF(D82=1, "DEPENSES DE PERSONNEL",  +IF(D82=2,"DEPENSES DE SERVICES ET CHARGES DIVERSES", +IF(D82=3,"ACHATS DE BIENS DE CONSOMMATION ET PETITS MATERIELS",+IF(D82=4,"IMMOBILISATION CORPORELLE",+IF(D82=5,"IMMOBILISATION INCORPORELLE",+IF(D82=7,"SUBVENTIONS,QUOTES-PARTS ET CONTRIB.,ALLOC, INDEMNISATIONS",+IF(D82=8,"AMORTISSEMENT DE LA DETTE",+IF(D82=9,"AUTRES DEPENSES PUBLIQUES",0))))))))</f>
        <v>SUBVENTIONS,QUOTES-PARTS ET CONTRIB.,ALLOC, INDEMNISATIONS</v>
      </c>
      <c r="F82" s="60" t="e">
        <f>SUMIFS([49]mensuel_section_article1!$E$3:$E$962,[49]mensuel_section_article1!$B$3:$B$962,C82,[49]mensuel_section_article1!$C$3:$C$962,D82)</f>
        <v>#VALUE!</v>
      </c>
      <c r="G82" s="60" t="e">
        <f>SUMIFS([49]mensuel_section_article1!$G$3:$G$962,[49]mensuel_section_article1!$B$3:$B$962,C82,[49]mensuel_section_article1!$C$3:$C$962,D82)</f>
        <v>#VALUE!</v>
      </c>
      <c r="H82" s="60">
        <v>0</v>
      </c>
      <c r="I82" s="60">
        <v>0</v>
      </c>
      <c r="J82" s="60">
        <v>0</v>
      </c>
      <c r="K82" s="60">
        <f>+H82-J82</f>
        <v>0</v>
      </c>
      <c r="L82" s="61" t="e">
        <f t="shared" si="36"/>
        <v>#VALUE!</v>
      </c>
      <c r="M82" s="60" t="e">
        <f>+SUMIFS([51]section_article!$H$10:$H$936,[51]section_article!$C$10:$C$936,C82,[51]section_article!$D$10:$D$936,D82)</f>
        <v>#VALUE!</v>
      </c>
      <c r="N82" s="24" t="e">
        <f>+J82-M82</f>
        <v>#VALUE!</v>
      </c>
      <c r="O82" s="9"/>
      <c r="Q82" s="63"/>
      <c r="AK82" s="64"/>
      <c r="AL82" s="64"/>
      <c r="AM82" s="64"/>
      <c r="AN82" s="64"/>
      <c r="AO82" s="11">
        <v>1112128</v>
      </c>
      <c r="AP82" s="65" t="str">
        <f>CONCATENATE(AO82,D82)</f>
        <v>11121287</v>
      </c>
    </row>
    <row r="83" spans="1:42" s="49" customFormat="1" ht="27.75" customHeight="1" thickTop="1" x14ac:dyDescent="0.25">
      <c r="A83" s="43" t="s">
        <v>19</v>
      </c>
      <c r="B83" s="43" t="s">
        <v>19</v>
      </c>
      <c r="C83" s="43" t="s">
        <v>19</v>
      </c>
      <c r="D83" s="44">
        <v>11122</v>
      </c>
      <c r="E83" s="45" t="str">
        <f>VLOOKUP(D83,[49]INST!$A$1:$B$626,2,FALSE)</f>
        <v>SERVICES EXTERNES</v>
      </c>
      <c r="F83" s="46" t="e">
        <f>SUMIF($B$83:$B$123,"section",F83:F123)</f>
        <v>#VALUE!</v>
      </c>
      <c r="G83" s="46" t="e">
        <f>SUMIF($B$83:$B$123,"section",G83:G123)</f>
        <v>#VALUE!</v>
      </c>
      <c r="H83" s="46">
        <f>SUMIF($B$83:$B$123,"section",H83:H123)</f>
        <v>4194383377.9449987</v>
      </c>
      <c r="I83" s="46">
        <v>4221883377.7999992</v>
      </c>
      <c r="J83" s="46">
        <f>SUMIF($B$83:$B$123,"section",J83:J123)</f>
        <v>4128500692.9699993</v>
      </c>
      <c r="K83" s="46">
        <f>SUMIF($B$83:$B$123,"section",K83:K123)</f>
        <v>65882684.974999472</v>
      </c>
      <c r="L83" s="47">
        <f t="shared" ref="L83:L89" si="38">+J83/H83</f>
        <v>0.98429264112540948</v>
      </c>
      <c r="M83" s="46"/>
      <c r="N83" s="46"/>
      <c r="O83" s="48"/>
      <c r="AO83" s="11"/>
    </row>
    <row r="84" spans="1:42" s="1" customFormat="1" ht="27.75" customHeight="1" thickBot="1" x14ac:dyDescent="0.3">
      <c r="A84" s="50" t="s">
        <v>20</v>
      </c>
      <c r="B84" s="50" t="s">
        <v>20</v>
      </c>
      <c r="C84" s="50" t="s">
        <v>20</v>
      </c>
      <c r="D84" s="51">
        <v>1112213</v>
      </c>
      <c r="E84" s="67" t="s">
        <v>33</v>
      </c>
      <c r="F84" s="68" t="e">
        <f>SUMIF($B$84:$B$91,"article",F84:F91)</f>
        <v>#VALUE!</v>
      </c>
      <c r="G84" s="68" t="e">
        <f>SUMIF($B$84:$B$91,"article",G84:G91)</f>
        <v>#VALUE!</v>
      </c>
      <c r="H84" s="68">
        <f>SUMIF($B$84:$B$91,"article",H84:H91)</f>
        <v>112204990.59100001</v>
      </c>
      <c r="I84" s="68">
        <v>112204990.59999999</v>
      </c>
      <c r="J84" s="68">
        <f>SUMIF($B$84:$B$91,"article",J84:J91)</f>
        <v>99692025.610000014</v>
      </c>
      <c r="K84" s="68">
        <f>SUMIF($B$84:$B$91,"article",K84:K91)</f>
        <v>12512964.980999999</v>
      </c>
      <c r="L84" s="69">
        <f t="shared" si="38"/>
        <v>0.88848120823242904</v>
      </c>
      <c r="M84" s="68"/>
      <c r="N84" s="68"/>
      <c r="O84" s="9"/>
      <c r="Q84" s="23"/>
      <c r="AK84" s="70"/>
      <c r="AL84" s="70"/>
      <c r="AM84" s="70"/>
      <c r="AN84" s="70"/>
      <c r="AO84" s="11">
        <v>1112213</v>
      </c>
    </row>
    <row r="85" spans="1:42" s="62" customFormat="1" ht="27.75" customHeight="1" thickTop="1" thickBot="1" x14ac:dyDescent="0.3">
      <c r="A85" s="56" t="s">
        <v>22</v>
      </c>
      <c r="B85" s="56" t="s">
        <v>22</v>
      </c>
      <c r="C85" s="57">
        <f t="shared" ref="C85:C91" si="39">IF(A84="SECTION",D84,C84)</f>
        <v>1112213</v>
      </c>
      <c r="D85" s="58">
        <v>1</v>
      </c>
      <c r="E85" s="59" t="str">
        <f t="shared" ref="E85:E91" si="40">IF(D85=1, "DEPENSES DE PERSONNEL",  +IF(D85=2,"DEPENSES DE SERVICES ET CHARGES DIVERSES", +IF(D85=3,"ACHATS DE BIENS DE CONSOMMATION ET PETITS MATERIELS",+IF(D85=4,"IMMOBILISATION CORPORELLE",+IF(D85=5,"IMMOBILISATION INCORPORELLE",+IF(D85=7,"SUBVENTIONS,QUOTES-PARTS ET CONTRIB.,ALLOC, INDEMNISATIONS",+IF(D85=8,"AMORTISSEMENT DE LA DETTE",+IF(D85=9,"AUTRES DEPENSES PUBLIQUES",0))))))))</f>
        <v>DEPENSES DE PERSONNEL</v>
      </c>
      <c r="F85" s="60" t="e">
        <f>SUMIFS([49]mensuel_section_article1!$E$3:$E$962,[49]mensuel_section_article1!$B$3:$B$962,C85,[49]mensuel_section_article1!$C$3:$C$962,D85)</f>
        <v>#VALUE!</v>
      </c>
      <c r="G85" s="60" t="e">
        <f>SUMIFS([49]mensuel_section_article1!$G$3:$G$962,[49]mensuel_section_article1!$B$3:$B$962,C85,[49]mensuel_section_article1!$C$3:$C$962,D85)</f>
        <v>#VALUE!</v>
      </c>
      <c r="H85" s="60">
        <v>98960460</v>
      </c>
      <c r="I85" s="60">
        <v>98960460</v>
      </c>
      <c r="J85" s="60">
        <v>90539781.340000004</v>
      </c>
      <c r="K85" s="60">
        <f t="shared" ref="K85:K91" si="41">+H85-J85</f>
        <v>8420678.6599999964</v>
      </c>
      <c r="L85" s="61">
        <f t="shared" si="38"/>
        <v>0.91490865483042427</v>
      </c>
      <c r="M85" s="60"/>
      <c r="N85" s="24"/>
      <c r="O85" s="9"/>
      <c r="Q85" s="63"/>
      <c r="AK85" s="64"/>
      <c r="AL85" s="64"/>
      <c r="AM85" s="64"/>
      <c r="AN85" s="64"/>
      <c r="AO85" s="11">
        <v>1112213</v>
      </c>
      <c r="AP85" s="65" t="str">
        <f t="shared" ref="AP85:AP91" si="42">CONCATENATE(AO85,D85)</f>
        <v>11122131</v>
      </c>
    </row>
    <row r="86" spans="1:42" s="62" customFormat="1" ht="27.75" customHeight="1" thickTop="1" thickBot="1" x14ac:dyDescent="0.3">
      <c r="A86" s="56" t="s">
        <v>22</v>
      </c>
      <c r="B86" s="56" t="s">
        <v>22</v>
      </c>
      <c r="C86" s="57">
        <f t="shared" si="39"/>
        <v>1112213</v>
      </c>
      <c r="D86" s="58">
        <v>2</v>
      </c>
      <c r="E86" s="59" t="str">
        <f t="shared" si="40"/>
        <v>DEPENSES DE SERVICES ET CHARGES DIVERSES</v>
      </c>
      <c r="F86" s="60" t="e">
        <f>SUMIFS([49]mensuel_section_article1!$E$3:$E$962,[49]mensuel_section_article1!$B$3:$B$962,C86,[49]mensuel_section_article1!$C$3:$C$962,D86)</f>
        <v>#VALUE!</v>
      </c>
      <c r="G86" s="60" t="e">
        <f>SUMIFS([49]mensuel_section_article1!$G$3:$G$962,[49]mensuel_section_article1!$B$3:$B$962,C86,[49]mensuel_section_article1!$C$3:$C$962,D86)</f>
        <v>#VALUE!</v>
      </c>
      <c r="H86" s="60">
        <v>4718046.591</v>
      </c>
      <c r="I86" s="60">
        <v>4729292.47</v>
      </c>
      <c r="J86" s="60">
        <v>2706570.42</v>
      </c>
      <c r="K86" s="60">
        <f t="shared" si="41"/>
        <v>2011476.1710000001</v>
      </c>
      <c r="L86" s="61">
        <f t="shared" si="38"/>
        <v>0.57366335151563996</v>
      </c>
      <c r="M86" s="60"/>
      <c r="N86" s="24"/>
      <c r="O86" s="9"/>
      <c r="Q86" s="63"/>
      <c r="AK86" s="64"/>
      <c r="AL86" s="64"/>
      <c r="AM86" s="64"/>
      <c r="AN86" s="64"/>
      <c r="AO86" s="11">
        <v>1112213</v>
      </c>
      <c r="AP86" s="65" t="str">
        <f t="shared" si="42"/>
        <v>11122132</v>
      </c>
    </row>
    <row r="87" spans="1:42" s="62" customFormat="1" ht="27.75" customHeight="1" thickTop="1" thickBot="1" x14ac:dyDescent="0.3">
      <c r="A87" s="56" t="s">
        <v>22</v>
      </c>
      <c r="B87" s="56" t="s">
        <v>22</v>
      </c>
      <c r="C87" s="57">
        <f t="shared" si="39"/>
        <v>1112213</v>
      </c>
      <c r="D87" s="58">
        <v>3</v>
      </c>
      <c r="E87" s="59" t="str">
        <f t="shared" si="40"/>
        <v>ACHATS DE BIENS DE CONSOMMATION ET PETITS MATERIELS</v>
      </c>
      <c r="F87" s="60" t="e">
        <f>SUMIFS([49]mensuel_section_article1!$E$3:$E$962,[49]mensuel_section_article1!$B$3:$B$962,C87,[49]mensuel_section_article1!$C$3:$C$962,D87)</f>
        <v>#VALUE!</v>
      </c>
      <c r="G87" s="60" t="e">
        <f>SUMIFS([49]mensuel_section_article1!$G$3:$G$962,[49]mensuel_section_article1!$B$3:$B$962,C87,[49]mensuel_section_article1!$C$3:$C$962,D87)</f>
        <v>#VALUE!</v>
      </c>
      <c r="H87" s="60">
        <v>7192484</v>
      </c>
      <c r="I87" s="60">
        <v>7181238.1299999999</v>
      </c>
      <c r="J87" s="60">
        <v>5627506.5599999996</v>
      </c>
      <c r="K87" s="60">
        <f t="shared" si="41"/>
        <v>1564977.4400000004</v>
      </c>
      <c r="L87" s="61">
        <f t="shared" si="38"/>
        <v>0.78241488754093846</v>
      </c>
      <c r="M87" s="60"/>
      <c r="N87" s="24"/>
      <c r="O87" s="9"/>
      <c r="Q87" s="63"/>
      <c r="AK87" s="64"/>
      <c r="AL87" s="64"/>
      <c r="AM87" s="64"/>
      <c r="AN87" s="64"/>
      <c r="AO87" s="11">
        <v>1112213</v>
      </c>
      <c r="AP87" s="65" t="str">
        <f t="shared" si="42"/>
        <v>11122133</v>
      </c>
    </row>
    <row r="88" spans="1:42" s="62" customFormat="1" ht="27.75" customHeight="1" thickTop="1" thickBot="1" x14ac:dyDescent="0.3">
      <c r="A88" s="56" t="s">
        <v>22</v>
      </c>
      <c r="B88" s="56" t="s">
        <v>22</v>
      </c>
      <c r="C88" s="57">
        <f t="shared" si="39"/>
        <v>1112213</v>
      </c>
      <c r="D88" s="58">
        <v>4</v>
      </c>
      <c r="E88" s="59" t="str">
        <f t="shared" si="40"/>
        <v>IMMOBILISATION CORPORELLE</v>
      </c>
      <c r="F88" s="60" t="e">
        <f>SUMIFS([49]mensuel_section_article1!$E$3:$E$962,[49]mensuel_section_article1!$B$3:$B$962,C88,[49]mensuel_section_article1!$C$3:$C$962,D88)</f>
        <v>#VALUE!</v>
      </c>
      <c r="G88" s="60" t="e">
        <f>SUMIFS([49]mensuel_section_article1!$G$3:$G$962,[49]mensuel_section_article1!$B$3:$B$962,C88,[49]mensuel_section_article1!$C$3:$C$962,D88)</f>
        <v>#VALUE!</v>
      </c>
      <c r="H88" s="60">
        <v>824000</v>
      </c>
      <c r="I88" s="60">
        <v>824001</v>
      </c>
      <c r="J88" s="60">
        <v>471120.7</v>
      </c>
      <c r="K88" s="60">
        <f t="shared" si="41"/>
        <v>352879.3</v>
      </c>
      <c r="L88" s="61">
        <f t="shared" si="38"/>
        <v>0.57174842233009715</v>
      </c>
      <c r="M88" s="60"/>
      <c r="N88" s="24"/>
      <c r="O88" s="9"/>
      <c r="Q88" s="63"/>
      <c r="AK88" s="64"/>
      <c r="AL88" s="64"/>
      <c r="AM88" s="64"/>
      <c r="AN88" s="64"/>
      <c r="AO88" s="11">
        <v>1112213</v>
      </c>
      <c r="AP88" s="65" t="str">
        <f t="shared" si="42"/>
        <v>11122134</v>
      </c>
    </row>
    <row r="89" spans="1:42" s="62" customFormat="1" ht="27.75" customHeight="1" thickTop="1" thickBot="1" x14ac:dyDescent="0.3">
      <c r="A89" s="56" t="s">
        <v>22</v>
      </c>
      <c r="B89" s="56" t="s">
        <v>22</v>
      </c>
      <c r="C89" s="57">
        <f t="shared" si="39"/>
        <v>1112213</v>
      </c>
      <c r="D89" s="58">
        <v>5</v>
      </c>
      <c r="E89" s="59" t="str">
        <f t="shared" si="40"/>
        <v>IMMOBILISATION INCORPORELLE</v>
      </c>
      <c r="F89" s="60" t="e">
        <f>SUMIFS([49]mensuel_section_article1!$E$3:$E$962,[49]mensuel_section_article1!$B$3:$B$962,C89,[49]mensuel_section_article1!$C$3:$C$962,D89)</f>
        <v>#VALUE!</v>
      </c>
      <c r="G89" s="60" t="e">
        <f>SUMIFS([49]mensuel_section_article1!$G$3:$G$962,[49]mensuel_section_article1!$B$3:$B$962,C89,[49]mensuel_section_article1!$C$3:$C$962,D89)</f>
        <v>#VALUE!</v>
      </c>
      <c r="H89" s="60">
        <v>300000</v>
      </c>
      <c r="I89" s="60">
        <v>299999</v>
      </c>
      <c r="J89" s="60">
        <v>185441.59</v>
      </c>
      <c r="K89" s="60">
        <f t="shared" si="41"/>
        <v>114558.41</v>
      </c>
      <c r="L89" s="61">
        <f t="shared" si="38"/>
        <v>0.6181386333333333</v>
      </c>
      <c r="M89" s="60"/>
      <c r="N89" s="24"/>
      <c r="O89" s="9"/>
      <c r="Q89" s="63"/>
      <c r="AK89" s="64"/>
      <c r="AL89" s="64"/>
      <c r="AM89" s="64"/>
      <c r="AN89" s="64"/>
      <c r="AO89" s="11">
        <v>1112213</v>
      </c>
      <c r="AP89" s="65" t="str">
        <f t="shared" si="42"/>
        <v>11122135</v>
      </c>
    </row>
    <row r="90" spans="1:42" s="62" customFormat="1" ht="27.75" hidden="1" customHeight="1" thickTop="1" thickBot="1" x14ac:dyDescent="0.3">
      <c r="A90" s="56" t="s">
        <v>22</v>
      </c>
      <c r="B90" s="56" t="s">
        <v>22</v>
      </c>
      <c r="C90" s="57">
        <f t="shared" si="39"/>
        <v>1112213</v>
      </c>
      <c r="D90" s="58">
        <v>7</v>
      </c>
      <c r="E90" s="59" t="str">
        <f t="shared" si="40"/>
        <v>SUBVENTIONS,QUOTES-PARTS ET CONTRIB.,ALLOC, INDEMNISATIONS</v>
      </c>
      <c r="F90" s="60" t="e">
        <f>SUMIFS([49]mensuel_section_article1!$E$3:$E$962,[49]mensuel_section_article1!$B$3:$B$962,C90,[49]mensuel_section_article1!$C$3:$C$962,D90)</f>
        <v>#VALUE!</v>
      </c>
      <c r="G90" s="60" t="e">
        <f>SUMIFS([49]mensuel_section_article1!$G$3:$G$962,[49]mensuel_section_article1!$B$3:$B$962,C90,[49]mensuel_section_article1!$C$3:$C$962,D90)</f>
        <v>#VALUE!</v>
      </c>
      <c r="H90" s="60">
        <v>0</v>
      </c>
      <c r="I90" s="60">
        <v>0</v>
      </c>
      <c r="J90" s="60">
        <v>0</v>
      </c>
      <c r="K90" s="60">
        <f t="shared" si="41"/>
        <v>0</v>
      </c>
      <c r="L90" s="61" t="e">
        <f>IF(F90&lt;&gt;0,K90/F90,0)</f>
        <v>#VALUE!</v>
      </c>
      <c r="M90" s="60" t="e">
        <f>+SUMIFS([51]section_article!$H$10:$H$936,[51]section_article!$C$10:$C$936,C90,[51]section_article!$D$10:$D$936,D90)</f>
        <v>#VALUE!</v>
      </c>
      <c r="N90" s="24" t="e">
        <f t="shared" ref="N85:N91" si="43">+J90-M90</f>
        <v>#VALUE!</v>
      </c>
      <c r="O90" s="9"/>
      <c r="Q90" s="63"/>
      <c r="AK90" s="64"/>
      <c r="AL90" s="64"/>
      <c r="AM90" s="64"/>
      <c r="AN90" s="64"/>
      <c r="AO90" s="11">
        <v>1112213</v>
      </c>
      <c r="AP90" s="65" t="str">
        <f t="shared" si="42"/>
        <v>11122137</v>
      </c>
    </row>
    <row r="91" spans="1:42" s="62" customFormat="1" ht="27.75" customHeight="1" thickTop="1" thickBot="1" x14ac:dyDescent="0.3">
      <c r="A91" s="56" t="s">
        <v>22</v>
      </c>
      <c r="B91" s="56" t="s">
        <v>22</v>
      </c>
      <c r="C91" s="57">
        <f t="shared" si="39"/>
        <v>1112213</v>
      </c>
      <c r="D91" s="58">
        <v>9</v>
      </c>
      <c r="E91" s="59" t="str">
        <f t="shared" si="40"/>
        <v>AUTRES DEPENSES PUBLIQUES</v>
      </c>
      <c r="F91" s="60" t="e">
        <f>SUMIFS([49]mensuel_section_article1!$E$3:$E$962,[49]mensuel_section_article1!$B$3:$B$962,C91,[49]mensuel_section_article1!$C$3:$C$962,D91)</f>
        <v>#VALUE!</v>
      </c>
      <c r="G91" s="60" t="e">
        <f>SUMIFS([49]mensuel_section_article1!$G$3:$G$962,[49]mensuel_section_article1!$B$3:$B$962,C91,[49]mensuel_section_article1!$C$3:$C$962,D91)</f>
        <v>#VALUE!</v>
      </c>
      <c r="H91" s="60">
        <v>210000</v>
      </c>
      <c r="I91" s="60">
        <v>210000</v>
      </c>
      <c r="J91" s="60">
        <v>161605</v>
      </c>
      <c r="K91" s="60">
        <f t="shared" si="41"/>
        <v>48395</v>
      </c>
      <c r="L91" s="61">
        <f t="shared" ref="L91:L104" si="44">+J91/H91</f>
        <v>0.76954761904761904</v>
      </c>
      <c r="M91" s="60"/>
      <c r="N91" s="24"/>
      <c r="O91" s="9"/>
      <c r="Q91" s="63"/>
      <c r="AK91" s="64"/>
      <c r="AL91" s="64"/>
      <c r="AM91" s="64"/>
      <c r="AN91" s="64"/>
      <c r="AO91" s="11">
        <v>1112213</v>
      </c>
      <c r="AP91" s="65" t="str">
        <f t="shared" si="42"/>
        <v>11122139</v>
      </c>
    </row>
    <row r="92" spans="1:42" s="1" customFormat="1" ht="27.75" customHeight="1" thickTop="1" thickBot="1" x14ac:dyDescent="0.3">
      <c r="A92" s="50" t="s">
        <v>20</v>
      </c>
      <c r="B92" s="50" t="s">
        <v>20</v>
      </c>
      <c r="C92" s="50" t="s">
        <v>20</v>
      </c>
      <c r="D92" s="51">
        <v>1112214</v>
      </c>
      <c r="E92" s="67" t="s">
        <v>34</v>
      </c>
      <c r="F92" s="68" t="e">
        <f>SUMIF($B$93:$B$99,"article",F93:F99)</f>
        <v>#VALUE!</v>
      </c>
      <c r="G92" s="68" t="e">
        <f>SUMIF($B$93:$B$99,"article",G93:G99)</f>
        <v>#VALUE!</v>
      </c>
      <c r="H92" s="68">
        <f>SUMIF($B$93:$B$99,"article",H93:H99)</f>
        <v>214679681.38999999</v>
      </c>
      <c r="I92" s="68">
        <v>214679681.40000001</v>
      </c>
      <c r="J92" s="68">
        <f>SUMIF($B$93:$B$99,"article",J93:J99)</f>
        <v>210313659.42999998</v>
      </c>
      <c r="K92" s="68">
        <f>SUMIF($B$93:$B$99,"article",K93:K99)</f>
        <v>4366021.9600000056</v>
      </c>
      <c r="L92" s="69">
        <f t="shared" si="44"/>
        <v>0.97966262139140947</v>
      </c>
      <c r="M92" s="68"/>
      <c r="N92" s="68"/>
      <c r="O92" s="9"/>
      <c r="Q92" s="23"/>
      <c r="AK92" s="70"/>
      <c r="AL92" s="70"/>
      <c r="AM92" s="70"/>
      <c r="AN92" s="70"/>
      <c r="AO92" s="11">
        <v>1112214</v>
      </c>
    </row>
    <row r="93" spans="1:42" s="62" customFormat="1" ht="27.75" customHeight="1" thickTop="1" thickBot="1" x14ac:dyDescent="0.3">
      <c r="A93" s="56" t="s">
        <v>22</v>
      </c>
      <c r="B93" s="56" t="s">
        <v>22</v>
      </c>
      <c r="C93" s="57">
        <f t="shared" ref="C93:C99" si="45">IF(A92="SECTION",D92,C92)</f>
        <v>1112214</v>
      </c>
      <c r="D93" s="58">
        <v>1</v>
      </c>
      <c r="E93" s="59" t="str">
        <f t="shared" ref="E93:E99" si="46">IF(D93=1, "DEPENSES DE PERSONNEL",  +IF(D93=2,"DEPENSES DE SERVICES ET CHARGES DIVERSES", +IF(D93=3,"ACHATS DE BIENS DE CONSOMMATION ET PETITS MATERIELS",+IF(D93=4,"IMMOBILISATION CORPORELLE",+IF(D93=5,"IMMOBILISATION INCORPORELLE",+IF(D93=7,"SUBVENTIONS,QUOTES-PARTS ET CONTRIB.,ALLOC, INDEMNISATIONS",+IF(D93=8,"AMORTISSEMENT DE LA DETTE",+IF(D93=9,"AUTRES DEPENSES PUBLIQUES",0))))))))</f>
        <v>DEPENSES DE PERSONNEL</v>
      </c>
      <c r="F93" s="60" t="e">
        <f>SUMIFS([49]mensuel_section_article1!$E$3:$E$962,[49]mensuel_section_article1!$B$3:$B$962,C93,[49]mensuel_section_article1!$C$3:$C$962,D93)</f>
        <v>#VALUE!</v>
      </c>
      <c r="G93" s="60" t="e">
        <f>SUMIFS([49]mensuel_section_article1!$G$3:$G$962,[49]mensuel_section_article1!$B$3:$B$962,C93,[49]mensuel_section_article1!$C$3:$C$962,D93)</f>
        <v>#VALUE!</v>
      </c>
      <c r="H93" s="60">
        <v>121319606.11</v>
      </c>
      <c r="I93" s="60">
        <v>121319606.09999999</v>
      </c>
      <c r="J93" s="60">
        <v>121279136.77</v>
      </c>
      <c r="K93" s="60">
        <f t="shared" ref="K93:K99" si="47">+H93-J93</f>
        <v>40469.340000003576</v>
      </c>
      <c r="L93" s="61">
        <f t="shared" si="44"/>
        <v>0.99966642374388104</v>
      </c>
      <c r="M93" s="60"/>
      <c r="N93" s="24"/>
      <c r="O93" s="9"/>
      <c r="Q93" s="63"/>
      <c r="AK93" s="64"/>
      <c r="AL93" s="64"/>
      <c r="AM93" s="64"/>
      <c r="AN93" s="64"/>
      <c r="AO93" s="11">
        <v>1112214</v>
      </c>
      <c r="AP93" s="65" t="str">
        <f t="shared" ref="AP93:AP99" si="48">CONCATENATE(AO93,D93)</f>
        <v>11122141</v>
      </c>
    </row>
    <row r="94" spans="1:42" s="62" customFormat="1" ht="27.75" customHeight="1" thickTop="1" thickBot="1" x14ac:dyDescent="0.3">
      <c r="A94" s="56" t="s">
        <v>22</v>
      </c>
      <c r="B94" s="56" t="s">
        <v>22</v>
      </c>
      <c r="C94" s="57">
        <f t="shared" si="45"/>
        <v>1112214</v>
      </c>
      <c r="D94" s="58">
        <v>2</v>
      </c>
      <c r="E94" s="59" t="str">
        <f t="shared" si="46"/>
        <v>DEPENSES DE SERVICES ET CHARGES DIVERSES</v>
      </c>
      <c r="F94" s="60" t="e">
        <f>SUMIFS([49]mensuel_section_article1!$E$3:$E$962,[49]mensuel_section_article1!$B$3:$B$962,C94,[49]mensuel_section_article1!$C$3:$C$962,D94)</f>
        <v>#VALUE!</v>
      </c>
      <c r="G94" s="60" t="e">
        <f>SUMIFS([49]mensuel_section_article1!$G$3:$G$962,[49]mensuel_section_article1!$B$3:$B$962,C94,[49]mensuel_section_article1!$C$3:$C$962,D94)</f>
        <v>#VALUE!</v>
      </c>
      <c r="H94" s="60">
        <v>27038102.93</v>
      </c>
      <c r="I94" s="60">
        <v>22562337.940000001</v>
      </c>
      <c r="J94" s="60">
        <v>18918976.889999997</v>
      </c>
      <c r="K94" s="60">
        <f t="shared" si="47"/>
        <v>8119126.0400000028</v>
      </c>
      <c r="L94" s="61">
        <f t="shared" si="44"/>
        <v>0.6997153956762453</v>
      </c>
      <c r="M94" s="60"/>
      <c r="N94" s="24"/>
      <c r="O94" s="9"/>
      <c r="Q94" s="63"/>
      <c r="AK94" s="64"/>
      <c r="AL94" s="64"/>
      <c r="AM94" s="64"/>
      <c r="AN94" s="64"/>
      <c r="AO94" s="11">
        <v>1112214</v>
      </c>
      <c r="AP94" s="65" t="str">
        <f t="shared" si="48"/>
        <v>11122142</v>
      </c>
    </row>
    <row r="95" spans="1:42" s="62" customFormat="1" ht="27.75" customHeight="1" thickTop="1" thickBot="1" x14ac:dyDescent="0.3">
      <c r="A95" s="56" t="s">
        <v>22</v>
      </c>
      <c r="B95" s="56" t="s">
        <v>22</v>
      </c>
      <c r="C95" s="57">
        <f t="shared" si="45"/>
        <v>1112214</v>
      </c>
      <c r="D95" s="58">
        <v>3</v>
      </c>
      <c r="E95" s="59" t="str">
        <f t="shared" si="46"/>
        <v>ACHATS DE BIENS DE CONSOMMATION ET PETITS MATERIELS</v>
      </c>
      <c r="F95" s="60" t="e">
        <f>SUMIFS([49]mensuel_section_article1!$E$3:$E$962,[49]mensuel_section_article1!$B$3:$B$962,C95,[49]mensuel_section_article1!$C$3:$C$962,D95)</f>
        <v>#VALUE!</v>
      </c>
      <c r="G95" s="60" t="e">
        <f>SUMIFS([49]mensuel_section_article1!$G$3:$G$962,[49]mensuel_section_article1!$B$3:$B$962,C95,[49]mensuel_section_article1!$C$3:$C$962,D95)</f>
        <v>#VALUE!</v>
      </c>
      <c r="H95" s="60">
        <v>12796747.369999997</v>
      </c>
      <c r="I95" s="60">
        <v>17272512.360000003</v>
      </c>
      <c r="J95" s="60">
        <v>16837609.219999999</v>
      </c>
      <c r="K95" s="60">
        <f t="shared" si="47"/>
        <v>-4040861.8500000015</v>
      </c>
      <c r="L95" s="61">
        <f t="shared" si="44"/>
        <v>1.3157725735426473</v>
      </c>
      <c r="M95" s="60"/>
      <c r="N95" s="24"/>
      <c r="O95" s="9"/>
      <c r="Q95" s="63"/>
      <c r="AK95" s="64"/>
      <c r="AL95" s="64"/>
      <c r="AM95" s="64"/>
      <c r="AN95" s="64"/>
      <c r="AO95" s="11">
        <v>1112214</v>
      </c>
      <c r="AP95" s="65" t="str">
        <f t="shared" si="48"/>
        <v>11122143</v>
      </c>
    </row>
    <row r="96" spans="1:42" s="62" customFormat="1" ht="27.75" customHeight="1" thickTop="1" thickBot="1" x14ac:dyDescent="0.3">
      <c r="A96" s="56" t="s">
        <v>22</v>
      </c>
      <c r="B96" s="56" t="s">
        <v>22</v>
      </c>
      <c r="C96" s="57">
        <f t="shared" si="45"/>
        <v>1112214</v>
      </c>
      <c r="D96" s="58">
        <v>4</v>
      </c>
      <c r="E96" s="59" t="str">
        <f t="shared" si="46"/>
        <v>IMMOBILISATION CORPORELLE</v>
      </c>
      <c r="F96" s="60" t="e">
        <f>SUMIFS([49]mensuel_section_article1!$E$3:$E$962,[49]mensuel_section_article1!$B$3:$B$962,C96,[49]mensuel_section_article1!$C$3:$C$962,D96)</f>
        <v>#VALUE!</v>
      </c>
      <c r="G96" s="60" t="e">
        <f>SUMIFS([49]mensuel_section_article1!$G$3:$G$962,[49]mensuel_section_article1!$B$3:$B$962,C96,[49]mensuel_section_article1!$C$3:$C$962,D96)</f>
        <v>#VALUE!</v>
      </c>
      <c r="H96" s="60">
        <v>3598671.42</v>
      </c>
      <c r="I96" s="60">
        <v>3598671.4</v>
      </c>
      <c r="J96" s="60">
        <v>3596106.95</v>
      </c>
      <c r="K96" s="60">
        <f t="shared" si="47"/>
        <v>2564.4699999997392</v>
      </c>
      <c r="L96" s="61">
        <f t="shared" si="44"/>
        <v>0.99928738423137287</v>
      </c>
      <c r="M96" s="60"/>
      <c r="N96" s="24"/>
      <c r="O96" s="9"/>
      <c r="Q96" s="63"/>
      <c r="AK96" s="64"/>
      <c r="AL96" s="64"/>
      <c r="AM96" s="64"/>
      <c r="AN96" s="64"/>
      <c r="AO96" s="11">
        <v>1112214</v>
      </c>
      <c r="AP96" s="65" t="str">
        <f t="shared" si="48"/>
        <v>11122144</v>
      </c>
    </row>
    <row r="97" spans="1:42" s="62" customFormat="1" ht="27.75" customHeight="1" thickTop="1" thickBot="1" x14ac:dyDescent="0.3">
      <c r="A97" s="56" t="s">
        <v>22</v>
      </c>
      <c r="B97" s="56" t="s">
        <v>22</v>
      </c>
      <c r="C97" s="57">
        <f t="shared" si="45"/>
        <v>1112214</v>
      </c>
      <c r="D97" s="58">
        <v>5</v>
      </c>
      <c r="E97" s="59" t="str">
        <f t="shared" si="46"/>
        <v>IMMOBILISATION INCORPORELLE</v>
      </c>
      <c r="F97" s="60" t="e">
        <f>SUMIFS([49]mensuel_section_article1!$E$3:$E$962,[49]mensuel_section_article1!$B$3:$B$962,C97,[49]mensuel_section_article1!$C$3:$C$962,D97)</f>
        <v>#VALUE!</v>
      </c>
      <c r="G97" s="60" t="e">
        <f>SUMIFS([49]mensuel_section_article1!$G$3:$G$962,[49]mensuel_section_article1!$B$3:$B$962,C97,[49]mensuel_section_article1!$C$3:$C$962,D97)</f>
        <v>#VALUE!</v>
      </c>
      <c r="H97" s="60">
        <v>38760</v>
      </c>
      <c r="I97" s="60">
        <v>38760</v>
      </c>
      <c r="J97" s="60">
        <v>0</v>
      </c>
      <c r="K97" s="60">
        <f t="shared" si="47"/>
        <v>38760</v>
      </c>
      <c r="L97" s="61">
        <f t="shared" si="44"/>
        <v>0</v>
      </c>
      <c r="M97" s="60"/>
      <c r="N97" s="24"/>
      <c r="O97" s="9"/>
      <c r="Q97" s="63"/>
      <c r="AK97" s="64"/>
      <c r="AL97" s="64"/>
      <c r="AM97" s="64"/>
      <c r="AN97" s="64"/>
      <c r="AO97" s="11">
        <v>1112214</v>
      </c>
      <c r="AP97" s="65" t="str">
        <f t="shared" si="48"/>
        <v>11122145</v>
      </c>
    </row>
    <row r="98" spans="1:42" s="62" customFormat="1" ht="27.75" customHeight="1" thickTop="1" thickBot="1" x14ac:dyDescent="0.3">
      <c r="A98" s="56" t="s">
        <v>22</v>
      </c>
      <c r="B98" s="56" t="s">
        <v>22</v>
      </c>
      <c r="C98" s="57">
        <f t="shared" si="45"/>
        <v>1112214</v>
      </c>
      <c r="D98" s="58">
        <v>7</v>
      </c>
      <c r="E98" s="59" t="str">
        <f t="shared" si="46"/>
        <v>SUBVENTIONS,QUOTES-PARTS ET CONTRIB.,ALLOC, INDEMNISATIONS</v>
      </c>
      <c r="F98" s="60" t="e">
        <f>SUMIFS([49]mensuel_section_article1!$E$3:$E$962,[49]mensuel_section_article1!$B$3:$B$962,C98,[49]mensuel_section_article1!$C$3:$C$962,D98)</f>
        <v>#VALUE!</v>
      </c>
      <c r="G98" s="60" t="e">
        <f>SUMIFS([49]mensuel_section_article1!$G$3:$G$962,[49]mensuel_section_article1!$B$3:$B$962,C98,[49]mensuel_section_article1!$C$3:$C$962,D98)</f>
        <v>#VALUE!</v>
      </c>
      <c r="H98" s="60">
        <v>500000</v>
      </c>
      <c r="I98" s="60">
        <v>500000</v>
      </c>
      <c r="J98" s="60">
        <v>305000</v>
      </c>
      <c r="K98" s="60">
        <f t="shared" si="47"/>
        <v>195000</v>
      </c>
      <c r="L98" s="61">
        <f t="shared" si="44"/>
        <v>0.61</v>
      </c>
      <c r="M98" s="60"/>
      <c r="N98" s="24"/>
      <c r="O98" s="9"/>
      <c r="Q98" s="63"/>
      <c r="AK98" s="64"/>
      <c r="AL98" s="64"/>
      <c r="AM98" s="64"/>
      <c r="AN98" s="64"/>
      <c r="AO98" s="11">
        <v>1112214</v>
      </c>
      <c r="AP98" s="65" t="str">
        <f t="shared" si="48"/>
        <v>11122147</v>
      </c>
    </row>
    <row r="99" spans="1:42" s="62" customFormat="1" ht="27.75" customHeight="1" thickTop="1" thickBot="1" x14ac:dyDescent="0.3">
      <c r="A99" s="56" t="s">
        <v>22</v>
      </c>
      <c r="B99" s="56" t="s">
        <v>22</v>
      </c>
      <c r="C99" s="57">
        <f t="shared" si="45"/>
        <v>1112214</v>
      </c>
      <c r="D99" s="58">
        <v>9</v>
      </c>
      <c r="E99" s="59" t="str">
        <f t="shared" si="46"/>
        <v>AUTRES DEPENSES PUBLIQUES</v>
      </c>
      <c r="F99" s="60" t="e">
        <f>SUMIFS([49]mensuel_section_article1!$E$3:$E$962,[49]mensuel_section_article1!$B$3:$B$962,C99,[49]mensuel_section_article1!$C$3:$C$962,D99)</f>
        <v>#VALUE!</v>
      </c>
      <c r="G99" s="60" t="e">
        <f>SUMIFS([49]mensuel_section_article1!$G$3:$G$962,[49]mensuel_section_article1!$B$3:$B$962,C99,[49]mensuel_section_article1!$C$3:$C$962,D99)</f>
        <v>#VALUE!</v>
      </c>
      <c r="H99" s="60">
        <v>49387793.559999995</v>
      </c>
      <c r="I99" s="60">
        <v>49387793.600000001</v>
      </c>
      <c r="J99" s="60">
        <v>49376829.599999994</v>
      </c>
      <c r="K99" s="60">
        <f t="shared" si="47"/>
        <v>10963.960000000894</v>
      </c>
      <c r="L99" s="61">
        <f t="shared" si="44"/>
        <v>0.99977800263567795</v>
      </c>
      <c r="M99" s="60"/>
      <c r="N99" s="24"/>
      <c r="O99" s="64"/>
      <c r="P99" s="64"/>
      <c r="Q99" s="64"/>
      <c r="R99" s="64"/>
      <c r="S99" s="64"/>
      <c r="T99" s="64"/>
      <c r="U99" s="64"/>
      <c r="V99" s="64"/>
      <c r="W99" s="64" t="e">
        <f>SUM(#REF!)</f>
        <v>#REF!</v>
      </c>
      <c r="X99" s="64" t="e">
        <f>SUM(#REF!)</f>
        <v>#REF!</v>
      </c>
      <c r="Y99" s="64" t="e">
        <f>SUM(#REF!)</f>
        <v>#REF!</v>
      </c>
      <c r="Z99" s="64" t="e">
        <f>SUM(#REF!)</f>
        <v>#REF!</v>
      </c>
      <c r="AA99" s="64" t="e">
        <f>SUM(#REF!)</f>
        <v>#REF!</v>
      </c>
      <c r="AB99" s="64" t="e">
        <f>SUM(#REF!)</f>
        <v>#REF!</v>
      </c>
      <c r="AC99" s="64" t="e">
        <f>SUM(#REF!)</f>
        <v>#REF!</v>
      </c>
      <c r="AD99" s="64" t="e">
        <f>SUM(#REF!)</f>
        <v>#REF!</v>
      </c>
      <c r="AE99" s="64" t="e">
        <f>SUM(#REF!)</f>
        <v>#REF!</v>
      </c>
      <c r="AF99" s="64" t="e">
        <f>SUM(#REF!)</f>
        <v>#REF!</v>
      </c>
      <c r="AG99" s="64" t="e">
        <f>SUM(#REF!)</f>
        <v>#REF!</v>
      </c>
      <c r="AH99" s="64" t="e">
        <f>SUM(#REF!)</f>
        <v>#REF!</v>
      </c>
      <c r="AI99" s="64" t="e">
        <f>SUM(#REF!)</f>
        <v>#REF!</v>
      </c>
      <c r="AJ99" s="64" t="e">
        <f>SUM(#REF!)</f>
        <v>#REF!</v>
      </c>
      <c r="AK99" s="64"/>
      <c r="AL99" s="64"/>
      <c r="AM99" s="64"/>
      <c r="AN99" s="64" t="e">
        <f>SUM(#REF!)</f>
        <v>#REF!</v>
      </c>
      <c r="AO99" s="11">
        <v>1112214</v>
      </c>
      <c r="AP99" s="65" t="str">
        <f t="shared" si="48"/>
        <v>11122149</v>
      </c>
    </row>
    <row r="100" spans="1:42" s="1" customFormat="1" ht="27.75" customHeight="1" thickTop="1" thickBot="1" x14ac:dyDescent="0.3">
      <c r="A100" s="50" t="s">
        <v>20</v>
      </c>
      <c r="B100" s="50" t="s">
        <v>20</v>
      </c>
      <c r="C100" s="50" t="s">
        <v>20</v>
      </c>
      <c r="D100" s="51">
        <v>1112215</v>
      </c>
      <c r="E100" s="67" t="s">
        <v>35</v>
      </c>
      <c r="F100" s="68" t="e">
        <f>SUMIF($B$101:$B$107,"article",F101:F107)</f>
        <v>#VALUE!</v>
      </c>
      <c r="G100" s="68" t="e">
        <f>SUMIF($B$101:$B$107,"article",G101:G107)</f>
        <v>#VALUE!</v>
      </c>
      <c r="H100" s="68">
        <f>SUMIF($B$101:$B$107,"article",H101:H107)</f>
        <v>1739998861.9999998</v>
      </c>
      <c r="I100" s="68">
        <v>1739998861.8999999</v>
      </c>
      <c r="J100" s="68">
        <f>SUMIF($B$101:$B$107,"article",J101:J107)</f>
        <v>1710706904.2499998</v>
      </c>
      <c r="K100" s="68">
        <f>SUMIF($B$101:$B$107,"article",K101:K107)</f>
        <v>29291957.749999881</v>
      </c>
      <c r="L100" s="69">
        <f t="shared" si="44"/>
        <v>0.98316553051285849</v>
      </c>
      <c r="M100" s="68"/>
      <c r="N100" s="68"/>
      <c r="O100" s="9"/>
      <c r="Q100" s="23"/>
      <c r="AK100" s="70"/>
      <c r="AL100" s="70"/>
      <c r="AM100" s="70"/>
      <c r="AN100" s="70"/>
      <c r="AO100" s="11">
        <v>1112215</v>
      </c>
    </row>
    <row r="101" spans="1:42" s="62" customFormat="1" ht="27.75" customHeight="1" thickTop="1" thickBot="1" x14ac:dyDescent="0.3">
      <c r="A101" s="56" t="s">
        <v>22</v>
      </c>
      <c r="B101" s="56" t="s">
        <v>22</v>
      </c>
      <c r="C101" s="57">
        <f t="shared" ref="C101:C107" si="49">IF(A100="SECTION",D100,C100)</f>
        <v>1112215</v>
      </c>
      <c r="D101" s="58">
        <v>1</v>
      </c>
      <c r="E101" s="59" t="str">
        <f t="shared" ref="E101:E107" si="50">IF(D101=1, "DEPENSES DE PERSONNEL",  +IF(D101=2,"DEPENSES DE SERVICES ET CHARGES DIVERSES", +IF(D101=3,"ACHATS DE BIENS DE CONSOMMATION ET PETITS MATERIELS",+IF(D101=4,"IMMOBILISATION CORPORELLE",+IF(D101=5,"IMMOBILISATION INCORPORELLE",+IF(D101=7,"SUBVENTIONS,QUOTES-PARTS ET CONTRIB.,ALLOC, INDEMNISATIONS",+IF(D101=8,"AMORTISSEMENT DE LA DETTE",+IF(D101=9,"AUTRES DEPENSES PUBLIQUES",0))))))))</f>
        <v>DEPENSES DE PERSONNEL</v>
      </c>
      <c r="F101" s="60" t="e">
        <f>SUMIFS([49]mensuel_section_article1!$E$3:$E$962,[49]mensuel_section_article1!$B$3:$B$962,C101,[49]mensuel_section_article1!$C$3:$C$962,D101)</f>
        <v>#VALUE!</v>
      </c>
      <c r="G101" s="60" t="e">
        <f>SUMIFS([49]mensuel_section_article1!$G$3:$G$962,[49]mensuel_section_article1!$B$3:$B$962,C101,[49]mensuel_section_article1!$C$3:$C$962,D101)</f>
        <v>#VALUE!</v>
      </c>
      <c r="H101" s="60">
        <v>1073010972.4099998</v>
      </c>
      <c r="I101" s="60">
        <v>1073010972.4</v>
      </c>
      <c r="J101" s="60">
        <v>1046560053.04</v>
      </c>
      <c r="K101" s="60">
        <f t="shared" ref="K101:K107" si="51">+H101-J101</f>
        <v>26450919.369999886</v>
      </c>
      <c r="L101" s="61">
        <f t="shared" si="44"/>
        <v>0.97534888267676267</v>
      </c>
      <c r="M101" s="60"/>
      <c r="N101" s="24"/>
      <c r="O101" s="9"/>
      <c r="Q101" s="63"/>
      <c r="AK101" s="64"/>
      <c r="AL101" s="64"/>
      <c r="AM101" s="64"/>
      <c r="AN101" s="64"/>
      <c r="AO101" s="11">
        <v>1112215</v>
      </c>
      <c r="AP101" s="65" t="str">
        <f t="shared" ref="AP101:AP107" si="52">CONCATENATE(AO101,D101)</f>
        <v>11122151</v>
      </c>
    </row>
    <row r="102" spans="1:42" s="62" customFormat="1" ht="27.75" customHeight="1" thickTop="1" thickBot="1" x14ac:dyDescent="0.3">
      <c r="A102" s="56" t="s">
        <v>22</v>
      </c>
      <c r="B102" s="56" t="s">
        <v>22</v>
      </c>
      <c r="C102" s="57">
        <f t="shared" si="49"/>
        <v>1112215</v>
      </c>
      <c r="D102" s="58">
        <v>2</v>
      </c>
      <c r="E102" s="59" t="str">
        <f t="shared" si="50"/>
        <v>DEPENSES DE SERVICES ET CHARGES DIVERSES</v>
      </c>
      <c r="F102" s="60" t="e">
        <f>SUMIFS([49]mensuel_section_article1!$E$3:$E$962,[49]mensuel_section_article1!$B$3:$B$962,C102,[49]mensuel_section_article1!$C$3:$C$962,D102)</f>
        <v>#VALUE!</v>
      </c>
      <c r="G102" s="60" t="e">
        <f>SUMIFS([49]mensuel_section_article1!$G$3:$G$962,[49]mensuel_section_article1!$B$3:$B$962,C102,[49]mensuel_section_article1!$C$3:$C$962,D102)</f>
        <v>#VALUE!</v>
      </c>
      <c r="H102" s="60">
        <v>266529894.93000001</v>
      </c>
      <c r="I102" s="60">
        <v>323916239.92000002</v>
      </c>
      <c r="J102" s="60">
        <v>323597668.62</v>
      </c>
      <c r="K102" s="60">
        <f t="shared" si="51"/>
        <v>-57067773.689999998</v>
      </c>
      <c r="L102" s="61">
        <f t="shared" si="44"/>
        <v>1.2141139691102492</v>
      </c>
      <c r="M102" s="60"/>
      <c r="N102" s="24"/>
      <c r="O102" s="9"/>
      <c r="Q102" s="63"/>
      <c r="AK102" s="64"/>
      <c r="AL102" s="64"/>
      <c r="AM102" s="64"/>
      <c r="AN102" s="64"/>
      <c r="AO102" s="11">
        <v>1112215</v>
      </c>
      <c r="AP102" s="65" t="str">
        <f t="shared" si="52"/>
        <v>11122152</v>
      </c>
    </row>
    <row r="103" spans="1:42" s="62" customFormat="1" ht="27.75" customHeight="1" thickTop="1" thickBot="1" x14ac:dyDescent="0.3">
      <c r="A103" s="56" t="s">
        <v>22</v>
      </c>
      <c r="B103" s="56" t="s">
        <v>22</v>
      </c>
      <c r="C103" s="57">
        <f t="shared" si="49"/>
        <v>1112215</v>
      </c>
      <c r="D103" s="58">
        <v>3</v>
      </c>
      <c r="E103" s="59" t="str">
        <f t="shared" si="50"/>
        <v>ACHATS DE BIENS DE CONSOMMATION ET PETITS MATERIELS</v>
      </c>
      <c r="F103" s="60" t="e">
        <f>SUMIFS([49]mensuel_section_article1!$E$3:$E$962,[49]mensuel_section_article1!$B$3:$B$962,C103,[49]mensuel_section_article1!$C$3:$C$962,D103)</f>
        <v>#VALUE!</v>
      </c>
      <c r="G103" s="60" t="e">
        <f>SUMIFS([49]mensuel_section_article1!$G$3:$G$962,[49]mensuel_section_article1!$B$3:$B$962,C103,[49]mensuel_section_article1!$C$3:$C$962,D103)</f>
        <v>#VALUE!</v>
      </c>
      <c r="H103" s="60">
        <v>42638810.810000002</v>
      </c>
      <c r="I103" s="60">
        <v>241152465.77999997</v>
      </c>
      <c r="J103" s="60">
        <v>240385662.77000001</v>
      </c>
      <c r="K103" s="60">
        <f t="shared" si="51"/>
        <v>-197746851.96000001</v>
      </c>
      <c r="L103" s="61">
        <f t="shared" si="44"/>
        <v>5.6377196784677404</v>
      </c>
      <c r="M103" s="60"/>
      <c r="N103" s="24"/>
      <c r="O103" s="9"/>
      <c r="Q103" s="63"/>
      <c r="AK103" s="64"/>
      <c r="AL103" s="64"/>
      <c r="AM103" s="64"/>
      <c r="AN103" s="64"/>
      <c r="AO103" s="11">
        <v>1112215</v>
      </c>
      <c r="AP103" s="65" t="str">
        <f t="shared" si="52"/>
        <v>11122153</v>
      </c>
    </row>
    <row r="104" spans="1:42" s="62" customFormat="1" ht="27.75" customHeight="1" thickTop="1" thickBot="1" x14ac:dyDescent="0.3">
      <c r="A104" s="56" t="s">
        <v>22</v>
      </c>
      <c r="B104" s="56" t="s">
        <v>22</v>
      </c>
      <c r="C104" s="57">
        <f t="shared" si="49"/>
        <v>1112215</v>
      </c>
      <c r="D104" s="58">
        <v>4</v>
      </c>
      <c r="E104" s="59" t="str">
        <f t="shared" si="50"/>
        <v>IMMOBILISATION CORPORELLE</v>
      </c>
      <c r="F104" s="60" t="e">
        <f>SUMIFS([49]mensuel_section_article1!$E$3:$E$962,[49]mensuel_section_article1!$B$3:$B$962,C104,[49]mensuel_section_article1!$C$3:$C$962,D104)</f>
        <v>#VALUE!</v>
      </c>
      <c r="G104" s="60" t="e">
        <f>SUMIFS([49]mensuel_section_article1!$G$3:$G$962,[49]mensuel_section_article1!$B$3:$B$962,C104,[49]mensuel_section_article1!$C$3:$C$962,D104)</f>
        <v>#VALUE!</v>
      </c>
      <c r="H104" s="60">
        <v>44419183.849999994</v>
      </c>
      <c r="I104" s="60">
        <v>44419183.800000004</v>
      </c>
      <c r="J104" s="60">
        <v>43518490.57</v>
      </c>
      <c r="K104" s="60">
        <f t="shared" si="51"/>
        <v>900693.27999999374</v>
      </c>
      <c r="L104" s="61">
        <f t="shared" si="44"/>
        <v>0.97972287642561007</v>
      </c>
      <c r="M104" s="60"/>
      <c r="N104" s="24"/>
      <c r="O104" s="8"/>
      <c r="Q104" s="66"/>
      <c r="AK104" s="64"/>
      <c r="AL104" s="64"/>
      <c r="AM104" s="64"/>
      <c r="AN104" s="64"/>
      <c r="AO104" s="11">
        <v>1112215</v>
      </c>
      <c r="AP104" s="65" t="str">
        <f t="shared" si="52"/>
        <v>11122154</v>
      </c>
    </row>
    <row r="105" spans="1:42" s="62" customFormat="1" ht="27.75" hidden="1" customHeight="1" thickTop="1" thickBot="1" x14ac:dyDescent="0.3">
      <c r="A105" s="56" t="s">
        <v>22</v>
      </c>
      <c r="B105" s="56" t="s">
        <v>22</v>
      </c>
      <c r="C105" s="57">
        <f t="shared" si="49"/>
        <v>1112215</v>
      </c>
      <c r="D105" s="58">
        <v>5</v>
      </c>
      <c r="E105" s="59" t="str">
        <f t="shared" si="50"/>
        <v>IMMOBILISATION INCORPORELLE</v>
      </c>
      <c r="F105" s="60" t="e">
        <f>SUMIFS([49]mensuel_section_article1!$E$3:$E$962,[49]mensuel_section_article1!$B$3:$B$962,C105,[49]mensuel_section_article1!$C$3:$C$962,D105)</f>
        <v>#VALUE!</v>
      </c>
      <c r="G105" s="60" t="e">
        <f>SUMIFS([49]mensuel_section_article1!$G$3:$G$962,[49]mensuel_section_article1!$B$3:$B$962,C105,[49]mensuel_section_article1!$C$3:$C$962,D105)</f>
        <v>#VALUE!</v>
      </c>
      <c r="H105" s="60">
        <v>0</v>
      </c>
      <c r="I105" s="60">
        <v>0</v>
      </c>
      <c r="J105" s="60">
        <v>0</v>
      </c>
      <c r="K105" s="60">
        <f t="shared" si="51"/>
        <v>0</v>
      </c>
      <c r="L105" s="61" t="e">
        <f>IF(F105&lt;&gt;0,K105/F105,0)</f>
        <v>#VALUE!</v>
      </c>
      <c r="M105" s="60" t="e">
        <f>+SUMIFS([51]section_article!$H$10:$H$936,[51]section_article!$C$10:$C$936,C105,[51]section_article!$D$10:$D$936,D105)</f>
        <v>#VALUE!</v>
      </c>
      <c r="N105" s="24" t="e">
        <f t="shared" ref="N101:N107" si="53">+J105-M105</f>
        <v>#VALUE!</v>
      </c>
      <c r="O105" s="9"/>
      <c r="Q105" s="63"/>
      <c r="AK105" s="64"/>
      <c r="AL105" s="64"/>
      <c r="AM105" s="64"/>
      <c r="AN105" s="64"/>
      <c r="AO105" s="11">
        <v>1112215</v>
      </c>
      <c r="AP105" s="65" t="str">
        <f t="shared" si="52"/>
        <v>11122155</v>
      </c>
    </row>
    <row r="106" spans="1:42" s="62" customFormat="1" ht="27.75" customHeight="1" thickTop="1" thickBot="1" x14ac:dyDescent="0.3">
      <c r="A106" s="56" t="s">
        <v>22</v>
      </c>
      <c r="B106" s="56" t="s">
        <v>22</v>
      </c>
      <c r="C106" s="57">
        <f t="shared" si="49"/>
        <v>1112215</v>
      </c>
      <c r="D106" s="58">
        <v>7</v>
      </c>
      <c r="E106" s="59" t="str">
        <f t="shared" si="50"/>
        <v>SUBVENTIONS,QUOTES-PARTS ET CONTRIB.,ALLOC, INDEMNISATIONS</v>
      </c>
      <c r="F106" s="60" t="e">
        <f>SUMIFS([49]mensuel_section_article1!$E$3:$E$962,[49]mensuel_section_article1!$B$3:$B$962,C106,[49]mensuel_section_article1!$C$3:$C$962,D106)</f>
        <v>#VALUE!</v>
      </c>
      <c r="G106" s="60" t="e">
        <f>SUMIFS([49]mensuel_section_article1!$G$3:$G$962,[49]mensuel_section_article1!$B$3:$B$962,C106,[49]mensuel_section_article1!$C$3:$C$962,D106)</f>
        <v>#VALUE!</v>
      </c>
      <c r="H106" s="60">
        <v>400000</v>
      </c>
      <c r="I106" s="60">
        <v>400000</v>
      </c>
      <c r="J106" s="60">
        <v>250000</v>
      </c>
      <c r="K106" s="60">
        <f t="shared" si="51"/>
        <v>150000</v>
      </c>
      <c r="L106" s="61">
        <f t="shared" ref="L106:L120" si="54">+J106/H106</f>
        <v>0.625</v>
      </c>
      <c r="M106" s="60"/>
      <c r="N106" s="24"/>
      <c r="O106" s="9"/>
      <c r="Q106" s="63"/>
      <c r="AK106" s="64"/>
      <c r="AL106" s="64"/>
      <c r="AM106" s="64"/>
      <c r="AN106" s="64"/>
      <c r="AO106" s="11">
        <v>1112215</v>
      </c>
      <c r="AP106" s="65" t="str">
        <f t="shared" si="52"/>
        <v>11122157</v>
      </c>
    </row>
    <row r="107" spans="1:42" s="62" customFormat="1" ht="27.75" customHeight="1" thickTop="1" thickBot="1" x14ac:dyDescent="0.3">
      <c r="A107" s="56" t="s">
        <v>22</v>
      </c>
      <c r="B107" s="56" t="s">
        <v>22</v>
      </c>
      <c r="C107" s="57">
        <f t="shared" si="49"/>
        <v>1112215</v>
      </c>
      <c r="D107" s="58">
        <v>9</v>
      </c>
      <c r="E107" s="59" t="str">
        <f t="shared" si="50"/>
        <v>AUTRES DEPENSES PUBLIQUES</v>
      </c>
      <c r="F107" s="60" t="e">
        <f>SUMIFS([49]mensuel_section_article1!$E$3:$E$962,[49]mensuel_section_article1!$B$3:$B$962,C107,[49]mensuel_section_article1!$C$3:$C$962,D107)</f>
        <v>#VALUE!</v>
      </c>
      <c r="G107" s="60" t="e">
        <f>SUMIFS([49]mensuel_section_article1!$G$3:$G$962,[49]mensuel_section_article1!$B$3:$B$962,C107,[49]mensuel_section_article1!$C$3:$C$962,D107)</f>
        <v>#VALUE!</v>
      </c>
      <c r="H107" s="60">
        <v>313000000</v>
      </c>
      <c r="I107" s="60">
        <v>57100000</v>
      </c>
      <c r="J107" s="60">
        <v>56395029.25</v>
      </c>
      <c r="K107" s="60">
        <f t="shared" si="51"/>
        <v>256604970.75</v>
      </c>
      <c r="L107" s="61">
        <f t="shared" si="54"/>
        <v>0.18017581230031948</v>
      </c>
      <c r="M107" s="60"/>
      <c r="N107" s="24"/>
      <c r="O107" s="9"/>
      <c r="Q107" s="63"/>
      <c r="AK107" s="64"/>
      <c r="AL107" s="64"/>
      <c r="AM107" s="64"/>
      <c r="AN107" s="64"/>
      <c r="AO107" s="11">
        <v>1112215</v>
      </c>
      <c r="AP107" s="65" t="str">
        <f t="shared" si="52"/>
        <v>11122159</v>
      </c>
    </row>
    <row r="108" spans="1:42" s="1" customFormat="1" ht="27.75" customHeight="1" thickTop="1" thickBot="1" x14ac:dyDescent="0.3">
      <c r="A108" s="50" t="s">
        <v>20</v>
      </c>
      <c r="B108" s="50" t="s">
        <v>20</v>
      </c>
      <c r="C108" s="50" t="s">
        <v>20</v>
      </c>
      <c r="D108" s="51">
        <v>1112216</v>
      </c>
      <c r="E108" s="67" t="s">
        <v>36</v>
      </c>
      <c r="F108" s="68" t="e">
        <f>SUMIF($B$109:$B$115,"article",F109:F115)</f>
        <v>#VALUE!</v>
      </c>
      <c r="G108" s="68" t="e">
        <f>SUMIF($B$109:$B$115,"article",G109:G115)</f>
        <v>#VALUE!</v>
      </c>
      <c r="H108" s="68">
        <f>SUMIF($B$109:$B$115,"article",H109:H115)</f>
        <v>2005461859.3699992</v>
      </c>
      <c r="I108" s="68">
        <v>2032961859.3999996</v>
      </c>
      <c r="J108" s="68">
        <f>SUMIF($B$109:$B$115,"article",J109:J115)</f>
        <v>2004292927.3899999</v>
      </c>
      <c r="K108" s="68">
        <f>SUMIF($B$109:$B$115,"article",K109:K115)</f>
        <v>1168931.9799995809</v>
      </c>
      <c r="L108" s="69">
        <f t="shared" si="54"/>
        <v>0.99941712579845998</v>
      </c>
      <c r="M108" s="68"/>
      <c r="N108" s="68"/>
      <c r="O108" s="9"/>
      <c r="Q108" s="23"/>
      <c r="AK108" s="70"/>
      <c r="AL108" s="70"/>
      <c r="AM108" s="70"/>
      <c r="AN108" s="70"/>
      <c r="AO108" s="11">
        <v>1112216</v>
      </c>
    </row>
    <row r="109" spans="1:42" s="62" customFormat="1" ht="27.75" customHeight="1" thickTop="1" thickBot="1" x14ac:dyDescent="0.3">
      <c r="A109" s="56" t="s">
        <v>22</v>
      </c>
      <c r="B109" s="56" t="s">
        <v>22</v>
      </c>
      <c r="C109" s="57">
        <f t="shared" ref="C109:C115" si="55">IF(A108="SECTION",D108,C108)</f>
        <v>1112216</v>
      </c>
      <c r="D109" s="58">
        <v>1</v>
      </c>
      <c r="E109" s="59" t="str">
        <f t="shared" ref="E109:E115" si="56">IF(D109=1, "DEPENSES DE PERSONNEL",  +IF(D109=2,"DEPENSES DE SERVICES ET CHARGES DIVERSES", +IF(D109=3,"ACHATS DE BIENS DE CONSOMMATION ET PETITS MATERIELS",+IF(D109=4,"IMMOBILISATION CORPORELLE",+IF(D109=5,"IMMOBILISATION INCORPORELLE",+IF(D109=7,"SUBVENTIONS,QUOTES-PARTS ET CONTRIB.,ALLOC, INDEMNISATIONS",+IF(D109=8,"AMORTISSEMENT DE LA DETTE",+IF(D109=9,"AUTRES DEPENSES PUBLIQUES",0))))))))</f>
        <v>DEPENSES DE PERSONNEL</v>
      </c>
      <c r="F109" s="60" t="e">
        <f>SUMIFS([49]mensuel_section_article1!$E$3:$E$962,[49]mensuel_section_article1!$B$3:$B$962,C109,[49]mensuel_section_article1!$C$3:$C$962,D109)</f>
        <v>#VALUE!</v>
      </c>
      <c r="G109" s="60" t="e">
        <f>SUMIFS([49]mensuel_section_article1!$G$3:$G$962,[49]mensuel_section_article1!$B$3:$B$962,C109,[49]mensuel_section_article1!$C$3:$C$962,D109)</f>
        <v>#VALUE!</v>
      </c>
      <c r="H109" s="60">
        <v>998773305.94999969</v>
      </c>
      <c r="I109" s="60">
        <v>1026273305.9999999</v>
      </c>
      <c r="J109" s="60">
        <v>997678465.88999999</v>
      </c>
      <c r="K109" s="60">
        <f t="shared" ref="K109:K115" si="57">+H109-J109</f>
        <v>1094840.0599997044</v>
      </c>
      <c r="L109" s="61">
        <f t="shared" si="54"/>
        <v>0.99890381525669802</v>
      </c>
      <c r="M109" s="60"/>
      <c r="N109" s="24"/>
      <c r="O109" s="9"/>
      <c r="Q109" s="63"/>
      <c r="AK109" s="64"/>
      <c r="AL109" s="64"/>
      <c r="AM109" s="64"/>
      <c r="AN109" s="64"/>
      <c r="AO109" s="11">
        <v>1112216</v>
      </c>
      <c r="AP109" s="65" t="str">
        <f t="shared" ref="AP109:AP115" si="58">CONCATENATE(AO109,D109)</f>
        <v>11122161</v>
      </c>
    </row>
    <row r="110" spans="1:42" s="62" customFormat="1" ht="27.75" customHeight="1" thickTop="1" thickBot="1" x14ac:dyDescent="0.3">
      <c r="A110" s="56" t="s">
        <v>22</v>
      </c>
      <c r="B110" s="56" t="s">
        <v>22</v>
      </c>
      <c r="C110" s="57">
        <f t="shared" si="55"/>
        <v>1112216</v>
      </c>
      <c r="D110" s="58">
        <v>2</v>
      </c>
      <c r="E110" s="59" t="str">
        <f t="shared" si="56"/>
        <v>DEPENSES DE SERVICES ET CHARGES DIVERSES</v>
      </c>
      <c r="F110" s="60" t="e">
        <f>SUMIFS([49]mensuel_section_article1!$E$3:$E$962,[49]mensuel_section_article1!$B$3:$B$962,C110,[49]mensuel_section_article1!$C$3:$C$962,D110)</f>
        <v>#VALUE!</v>
      </c>
      <c r="G110" s="60" t="e">
        <f>SUMIFS([49]mensuel_section_article1!$G$3:$G$962,[49]mensuel_section_article1!$B$3:$B$962,C110,[49]mensuel_section_article1!$C$3:$C$962,D110)</f>
        <v>#VALUE!</v>
      </c>
      <c r="H110" s="60">
        <v>561922316.12699986</v>
      </c>
      <c r="I110" s="60">
        <v>542285467.10000002</v>
      </c>
      <c r="J110" s="60">
        <v>542254380.13999999</v>
      </c>
      <c r="K110" s="60">
        <f t="shared" si="57"/>
        <v>19667935.986999869</v>
      </c>
      <c r="L110" s="61">
        <f t="shared" si="54"/>
        <v>0.964998834496271</v>
      </c>
      <c r="M110" s="60"/>
      <c r="N110" s="24"/>
      <c r="O110" s="9"/>
      <c r="Q110" s="63"/>
      <c r="AK110" s="64"/>
      <c r="AL110" s="64"/>
      <c r="AM110" s="64"/>
      <c r="AN110" s="64"/>
      <c r="AO110" s="11">
        <v>1112216</v>
      </c>
      <c r="AP110" s="65" t="str">
        <f t="shared" si="58"/>
        <v>11122162</v>
      </c>
    </row>
    <row r="111" spans="1:42" s="62" customFormat="1" ht="27.75" customHeight="1" thickTop="1" thickBot="1" x14ac:dyDescent="0.3">
      <c r="A111" s="56" t="s">
        <v>22</v>
      </c>
      <c r="B111" s="56" t="s">
        <v>22</v>
      </c>
      <c r="C111" s="57">
        <f t="shared" si="55"/>
        <v>1112216</v>
      </c>
      <c r="D111" s="58">
        <v>3</v>
      </c>
      <c r="E111" s="59" t="str">
        <f t="shared" si="56"/>
        <v>ACHATS DE BIENS DE CONSOMMATION ET PETITS MATERIELS</v>
      </c>
      <c r="F111" s="60" t="e">
        <f>SUMIFS([49]mensuel_section_article1!$E$3:$E$962,[49]mensuel_section_article1!$B$3:$B$962,C111,[49]mensuel_section_article1!$C$3:$C$962,D111)</f>
        <v>#VALUE!</v>
      </c>
      <c r="G111" s="60" t="e">
        <f>SUMIFS([49]mensuel_section_article1!$G$3:$G$962,[49]mensuel_section_article1!$B$3:$B$962,C111,[49]mensuel_section_article1!$C$3:$C$962,D111)</f>
        <v>#VALUE!</v>
      </c>
      <c r="H111" s="60">
        <v>177975568.278</v>
      </c>
      <c r="I111" s="60">
        <v>197612417.29999998</v>
      </c>
      <c r="J111" s="60">
        <v>197609707.81</v>
      </c>
      <c r="K111" s="60">
        <f t="shared" si="57"/>
        <v>-19634139.532000005</v>
      </c>
      <c r="L111" s="61">
        <f t="shared" si="54"/>
        <v>1.1103192967549975</v>
      </c>
      <c r="M111" s="60"/>
      <c r="N111" s="24"/>
      <c r="O111" s="9"/>
      <c r="Q111" s="63"/>
      <c r="AK111" s="64"/>
      <c r="AL111" s="64"/>
      <c r="AM111" s="64"/>
      <c r="AN111" s="64"/>
      <c r="AO111" s="11">
        <v>1112216</v>
      </c>
      <c r="AP111" s="65" t="str">
        <f t="shared" si="58"/>
        <v>11122163</v>
      </c>
    </row>
    <row r="112" spans="1:42" s="62" customFormat="1" ht="27.75" customHeight="1" thickTop="1" thickBot="1" x14ac:dyDescent="0.3">
      <c r="A112" s="56" t="s">
        <v>22</v>
      </c>
      <c r="B112" s="56" t="s">
        <v>22</v>
      </c>
      <c r="C112" s="57">
        <f t="shared" si="55"/>
        <v>1112216</v>
      </c>
      <c r="D112" s="58">
        <v>4</v>
      </c>
      <c r="E112" s="59" t="str">
        <f t="shared" si="56"/>
        <v>IMMOBILISATION CORPORELLE</v>
      </c>
      <c r="F112" s="60" t="e">
        <f>SUMIFS([49]mensuel_section_article1!$E$3:$E$962,[49]mensuel_section_article1!$B$3:$B$962,C112,[49]mensuel_section_article1!$C$3:$C$962,D112)</f>
        <v>#VALUE!</v>
      </c>
      <c r="G112" s="60" t="e">
        <f>SUMIFS([49]mensuel_section_article1!$G$3:$G$962,[49]mensuel_section_article1!$B$3:$B$962,C112,[49]mensuel_section_article1!$C$3:$C$962,D112)</f>
        <v>#VALUE!</v>
      </c>
      <c r="H112" s="60">
        <v>74572042.248000011</v>
      </c>
      <c r="I112" s="60">
        <v>77123042.299999997</v>
      </c>
      <c r="J112" s="60">
        <v>77122266.989999995</v>
      </c>
      <c r="K112" s="60">
        <f t="shared" si="57"/>
        <v>-2550224.7419999838</v>
      </c>
      <c r="L112" s="61">
        <f t="shared" si="54"/>
        <v>1.0341981346510378</v>
      </c>
      <c r="M112" s="60"/>
      <c r="N112" s="24"/>
      <c r="O112" s="9"/>
      <c r="Q112" s="63"/>
      <c r="AK112" s="64"/>
      <c r="AL112" s="64"/>
      <c r="AM112" s="64"/>
      <c r="AN112" s="64"/>
      <c r="AO112" s="11">
        <v>1112216</v>
      </c>
      <c r="AP112" s="65" t="str">
        <f t="shared" si="58"/>
        <v>11122164</v>
      </c>
    </row>
    <row r="113" spans="1:42" s="62" customFormat="1" ht="27.75" customHeight="1" thickTop="1" thickBot="1" x14ac:dyDescent="0.3">
      <c r="A113" s="56" t="s">
        <v>22</v>
      </c>
      <c r="B113" s="56" t="s">
        <v>22</v>
      </c>
      <c r="C113" s="57">
        <f t="shared" si="55"/>
        <v>1112216</v>
      </c>
      <c r="D113" s="58">
        <v>5</v>
      </c>
      <c r="E113" s="59" t="str">
        <f t="shared" si="56"/>
        <v>IMMOBILISATION INCORPORELLE</v>
      </c>
      <c r="F113" s="60" t="e">
        <f>SUMIFS([49]mensuel_section_article1!$E$3:$E$962,[49]mensuel_section_article1!$B$3:$B$962,C113,[49]mensuel_section_article1!$C$3:$C$962,D113)</f>
        <v>#VALUE!</v>
      </c>
      <c r="G113" s="60" t="e">
        <f>SUMIFS([49]mensuel_section_article1!$G$3:$G$962,[49]mensuel_section_article1!$B$3:$B$962,C113,[49]mensuel_section_article1!$C$3:$C$962,D113)</f>
        <v>#VALUE!</v>
      </c>
      <c r="H113" s="60">
        <v>2551896.304</v>
      </c>
      <c r="I113" s="60">
        <v>896.3</v>
      </c>
      <c r="J113" s="60">
        <v>0</v>
      </c>
      <c r="K113" s="60">
        <f t="shared" si="57"/>
        <v>2551896.304</v>
      </c>
      <c r="L113" s="61">
        <f t="shared" si="54"/>
        <v>0</v>
      </c>
      <c r="M113" s="60"/>
      <c r="N113" s="24"/>
      <c r="O113" s="9"/>
      <c r="Q113" s="63"/>
      <c r="AK113" s="64"/>
      <c r="AL113" s="64"/>
      <c r="AM113" s="64"/>
      <c r="AN113" s="64"/>
      <c r="AO113" s="11">
        <v>1112216</v>
      </c>
      <c r="AP113" s="65" t="str">
        <f t="shared" si="58"/>
        <v>11122165</v>
      </c>
    </row>
    <row r="114" spans="1:42" s="62" customFormat="1" ht="27.75" customHeight="1" thickTop="1" thickBot="1" x14ac:dyDescent="0.3">
      <c r="A114" s="56" t="s">
        <v>22</v>
      </c>
      <c r="B114" s="56" t="s">
        <v>22</v>
      </c>
      <c r="C114" s="57">
        <f t="shared" si="55"/>
        <v>1112216</v>
      </c>
      <c r="D114" s="58">
        <v>7</v>
      </c>
      <c r="E114" s="59" t="str">
        <f t="shared" si="56"/>
        <v>SUBVENTIONS,QUOTES-PARTS ET CONTRIB.,ALLOC, INDEMNISATIONS</v>
      </c>
      <c r="F114" s="60" t="e">
        <f>SUMIFS([49]mensuel_section_article1!$E$3:$E$962,[49]mensuel_section_article1!$B$3:$B$962,C114,[49]mensuel_section_article1!$C$3:$C$962,D114)</f>
        <v>#VALUE!</v>
      </c>
      <c r="G114" s="60" t="e">
        <f>SUMIFS([49]mensuel_section_article1!$G$3:$G$962,[49]mensuel_section_article1!$B$3:$B$962,C114,[49]mensuel_section_article1!$C$3:$C$962,D114)</f>
        <v>#VALUE!</v>
      </c>
      <c r="H114" s="60">
        <v>3011334.12</v>
      </c>
      <c r="I114" s="60">
        <v>3011334.1</v>
      </c>
      <c r="J114" s="60">
        <v>2999479.84</v>
      </c>
      <c r="K114" s="60">
        <f t="shared" si="57"/>
        <v>11854.280000000261</v>
      </c>
      <c r="L114" s="61">
        <f t="shared" si="54"/>
        <v>0.99606344579259098</v>
      </c>
      <c r="M114" s="60"/>
      <c r="N114" s="24"/>
      <c r="O114" s="9"/>
      <c r="Q114" s="63"/>
      <c r="AK114" s="64"/>
      <c r="AL114" s="64"/>
      <c r="AM114" s="64"/>
      <c r="AN114" s="64"/>
      <c r="AO114" s="11">
        <v>1112216</v>
      </c>
      <c r="AP114" s="65" t="str">
        <f t="shared" si="58"/>
        <v>11122167</v>
      </c>
    </row>
    <row r="115" spans="1:42" s="62" customFormat="1" ht="27.75" customHeight="1" thickTop="1" thickBot="1" x14ac:dyDescent="0.3">
      <c r="A115" s="56" t="s">
        <v>22</v>
      </c>
      <c r="B115" s="56" t="s">
        <v>22</v>
      </c>
      <c r="C115" s="57">
        <f t="shared" si="55"/>
        <v>1112216</v>
      </c>
      <c r="D115" s="58">
        <v>9</v>
      </c>
      <c r="E115" s="59" t="str">
        <f t="shared" si="56"/>
        <v>AUTRES DEPENSES PUBLIQUES</v>
      </c>
      <c r="F115" s="60" t="e">
        <f>SUMIFS([49]mensuel_section_article1!$E$3:$E$962,[49]mensuel_section_article1!$B$3:$B$962,C115,[49]mensuel_section_article1!$C$3:$C$962,D115)</f>
        <v>#VALUE!</v>
      </c>
      <c r="G115" s="60" t="e">
        <f>SUMIFS([49]mensuel_section_article1!$G$3:$G$962,[49]mensuel_section_article1!$B$3:$B$962,C115,[49]mensuel_section_article1!$C$3:$C$962,D115)</f>
        <v>#VALUE!</v>
      </c>
      <c r="H115" s="60">
        <v>186655396.34299999</v>
      </c>
      <c r="I115" s="60">
        <v>186655396.30000001</v>
      </c>
      <c r="J115" s="60">
        <v>186628626.72</v>
      </c>
      <c r="K115" s="60">
        <f t="shared" si="57"/>
        <v>26769.622999995947</v>
      </c>
      <c r="L115" s="61">
        <f t="shared" si="54"/>
        <v>0.99985658264628574</v>
      </c>
      <c r="M115" s="60"/>
      <c r="N115" s="24"/>
      <c r="O115" s="9"/>
      <c r="Q115" s="63"/>
      <c r="AK115" s="64"/>
      <c r="AL115" s="64"/>
      <c r="AM115" s="64"/>
      <c r="AN115" s="64"/>
      <c r="AO115" s="11">
        <v>1112216</v>
      </c>
      <c r="AP115" s="65" t="str">
        <f t="shared" si="58"/>
        <v>11122169</v>
      </c>
    </row>
    <row r="116" spans="1:42" s="1" customFormat="1" ht="27.75" customHeight="1" thickTop="1" thickBot="1" x14ac:dyDescent="0.3">
      <c r="A116" s="50" t="s">
        <v>20</v>
      </c>
      <c r="B116" s="50" t="s">
        <v>20</v>
      </c>
      <c r="C116" s="50" t="s">
        <v>20</v>
      </c>
      <c r="D116" s="51">
        <v>1112225</v>
      </c>
      <c r="E116" s="67" t="s">
        <v>37</v>
      </c>
      <c r="F116" s="68" t="e">
        <f>SUMIF($B$117:$B$123,"article",F117:F123)</f>
        <v>#VALUE!</v>
      </c>
      <c r="G116" s="68" t="e">
        <f>SUMIF($B$117:$B$123,"article",G117:G123)</f>
        <v>#VALUE!</v>
      </c>
      <c r="H116" s="68">
        <f>SUMIF($B$117:$B$123,"article",H117:H123)</f>
        <v>122037984.59400003</v>
      </c>
      <c r="I116" s="68">
        <v>122037984.5</v>
      </c>
      <c r="J116" s="68">
        <f>SUMIF($B$117:$B$123,"article",J117:J123)</f>
        <v>103495176.28999999</v>
      </c>
      <c r="K116" s="68">
        <f>SUMIF($B$117:$B$123,"article",K117:K123)</f>
        <v>18542808.304000016</v>
      </c>
      <c r="L116" s="69">
        <f t="shared" si="54"/>
        <v>0.84805707529758989</v>
      </c>
      <c r="M116" s="68"/>
      <c r="N116" s="68"/>
      <c r="O116" s="9"/>
      <c r="Q116" s="23"/>
      <c r="AK116" s="70"/>
      <c r="AL116" s="70"/>
      <c r="AM116" s="70"/>
      <c r="AN116" s="70"/>
      <c r="AO116" s="11">
        <v>1112225</v>
      </c>
    </row>
    <row r="117" spans="1:42" s="62" customFormat="1" ht="27.75" customHeight="1" thickTop="1" thickBot="1" x14ac:dyDescent="0.3">
      <c r="A117" s="56" t="s">
        <v>22</v>
      </c>
      <c r="B117" s="56" t="s">
        <v>22</v>
      </c>
      <c r="C117" s="57">
        <f t="shared" ref="C117:C123" si="59">IF(A116="SECTION",D116,C116)</f>
        <v>1112225</v>
      </c>
      <c r="D117" s="58">
        <v>1</v>
      </c>
      <c r="E117" s="59" t="str">
        <f t="shared" ref="E117:E123" si="60">IF(D117=1, "DEPENSES DE PERSONNEL",  +IF(D117=2,"DEPENSES DE SERVICES ET CHARGES DIVERSES", +IF(D117=3,"ACHATS DE BIENS DE CONSOMMATION ET PETITS MATERIELS",+IF(D117=4,"IMMOBILISATION CORPORELLE",+IF(D117=5,"IMMOBILISATION INCORPORELLE",+IF(D117=7,"SUBVENTIONS,QUOTES-PARTS ET CONTRIB.,ALLOC, INDEMNISATIONS",+IF(D117=8,"AMORTISSEMENT DE LA DETTE",+IF(D117=9,"AUTRES DEPENSES PUBLIQUES",0))))))))</f>
        <v>DEPENSES DE PERSONNEL</v>
      </c>
      <c r="F117" s="60" t="e">
        <f>SUMIFS([49]mensuel_section_article1!$E$3:$E$962,[49]mensuel_section_article1!$B$3:$B$962,C117,[49]mensuel_section_article1!$C$3:$C$962,D117)</f>
        <v>#VALUE!</v>
      </c>
      <c r="G117" s="60" t="e">
        <f>SUMIFS([49]mensuel_section_article1!$G$3:$G$962,[49]mensuel_section_article1!$B$3:$B$962,C117,[49]mensuel_section_article1!$C$3:$C$962,D117)</f>
        <v>#VALUE!</v>
      </c>
      <c r="H117" s="60">
        <v>54500836.13000001</v>
      </c>
      <c r="I117" s="60">
        <v>54500836.100000001</v>
      </c>
      <c r="J117" s="60">
        <v>45399965.979999997</v>
      </c>
      <c r="K117" s="60">
        <f t="shared" ref="K117:K123" si="61">+H117-J117</f>
        <v>9100870.1500000134</v>
      </c>
      <c r="L117" s="61">
        <f t="shared" si="54"/>
        <v>0.8330141187505482</v>
      </c>
      <c r="M117" s="60"/>
      <c r="N117" s="24"/>
      <c r="O117" s="9"/>
      <c r="Q117" s="63"/>
      <c r="AK117" s="64"/>
      <c r="AL117" s="64"/>
      <c r="AM117" s="64"/>
      <c r="AN117" s="64"/>
      <c r="AO117" s="11">
        <v>1112225</v>
      </c>
      <c r="AP117" s="65" t="str">
        <f t="shared" ref="AP117:AP123" si="62">CONCATENATE(AO117,D117)</f>
        <v>11122251</v>
      </c>
    </row>
    <row r="118" spans="1:42" s="62" customFormat="1" ht="27.75" customHeight="1" thickTop="1" thickBot="1" x14ac:dyDescent="0.3">
      <c r="A118" s="56" t="s">
        <v>22</v>
      </c>
      <c r="B118" s="56" t="s">
        <v>22</v>
      </c>
      <c r="C118" s="57">
        <f t="shared" si="59"/>
        <v>1112225</v>
      </c>
      <c r="D118" s="58">
        <v>2</v>
      </c>
      <c r="E118" s="59" t="str">
        <f t="shared" si="60"/>
        <v>DEPENSES DE SERVICES ET CHARGES DIVERSES</v>
      </c>
      <c r="F118" s="60" t="e">
        <f>SUMIFS([49]mensuel_section_article1!$E$3:$E$962,[49]mensuel_section_article1!$B$3:$B$962,C118,[49]mensuel_section_article1!$C$3:$C$962,D118)</f>
        <v>#VALUE!</v>
      </c>
      <c r="G118" s="60" t="e">
        <f>SUMIFS([49]mensuel_section_article1!$G$3:$G$962,[49]mensuel_section_article1!$B$3:$B$962,C118,[49]mensuel_section_article1!$C$3:$C$962,D118)</f>
        <v>#VALUE!</v>
      </c>
      <c r="H118" s="60">
        <v>19980076.921</v>
      </c>
      <c r="I118" s="60">
        <v>23299709.900000002</v>
      </c>
      <c r="J118" s="60">
        <v>22295600.43</v>
      </c>
      <c r="K118" s="60">
        <f t="shared" si="61"/>
        <v>-2315523.5089999996</v>
      </c>
      <c r="L118" s="61">
        <f t="shared" si="54"/>
        <v>1.1158916213463761</v>
      </c>
      <c r="M118" s="60"/>
      <c r="N118" s="24"/>
      <c r="O118" s="9"/>
      <c r="Q118" s="63"/>
      <c r="AK118" s="64"/>
      <c r="AL118" s="64"/>
      <c r="AM118" s="64"/>
      <c r="AN118" s="64"/>
      <c r="AO118" s="11">
        <v>1112225</v>
      </c>
      <c r="AP118" s="65" t="str">
        <f t="shared" si="62"/>
        <v>11122252</v>
      </c>
    </row>
    <row r="119" spans="1:42" s="62" customFormat="1" ht="27.75" customHeight="1" thickTop="1" thickBot="1" x14ac:dyDescent="0.3">
      <c r="A119" s="56" t="s">
        <v>22</v>
      </c>
      <c r="B119" s="56" t="s">
        <v>22</v>
      </c>
      <c r="C119" s="57">
        <f t="shared" si="59"/>
        <v>1112225</v>
      </c>
      <c r="D119" s="58">
        <v>3</v>
      </c>
      <c r="E119" s="59" t="str">
        <f t="shared" si="60"/>
        <v>ACHATS DE BIENS DE CONSOMMATION ET PETITS MATERIELS</v>
      </c>
      <c r="F119" s="60" t="e">
        <f>SUMIFS([49]mensuel_section_article1!$E$3:$E$962,[49]mensuel_section_article1!$B$3:$B$962,C119,[49]mensuel_section_article1!$C$3:$C$962,D119)</f>
        <v>#VALUE!</v>
      </c>
      <c r="G119" s="60" t="e">
        <f>SUMIFS([49]mensuel_section_article1!$G$3:$G$962,[49]mensuel_section_article1!$B$3:$B$962,C119,[49]mensuel_section_article1!$C$3:$C$962,D119)</f>
        <v>#VALUE!</v>
      </c>
      <c r="H119" s="60">
        <v>12134723.4</v>
      </c>
      <c r="I119" s="60">
        <v>14090723.4</v>
      </c>
      <c r="J119" s="60">
        <v>12464853.24</v>
      </c>
      <c r="K119" s="60">
        <f t="shared" si="61"/>
        <v>-330129.83999999985</v>
      </c>
      <c r="L119" s="61">
        <f t="shared" si="54"/>
        <v>1.027205386486189</v>
      </c>
      <c r="M119" s="60"/>
      <c r="N119" s="24"/>
      <c r="O119" s="9"/>
      <c r="Q119" s="63"/>
      <c r="AK119" s="64"/>
      <c r="AL119" s="64"/>
      <c r="AM119" s="64"/>
      <c r="AN119" s="64"/>
      <c r="AO119" s="11">
        <v>1112225</v>
      </c>
      <c r="AP119" s="65" t="str">
        <f t="shared" si="62"/>
        <v>11122253</v>
      </c>
    </row>
    <row r="120" spans="1:42" s="62" customFormat="1" ht="27.75" customHeight="1" thickTop="1" thickBot="1" x14ac:dyDescent="0.3">
      <c r="A120" s="56" t="s">
        <v>22</v>
      </c>
      <c r="B120" s="56" t="s">
        <v>22</v>
      </c>
      <c r="C120" s="57">
        <f t="shared" si="59"/>
        <v>1112225</v>
      </c>
      <c r="D120" s="58">
        <v>4</v>
      </c>
      <c r="E120" s="59" t="str">
        <f t="shared" si="60"/>
        <v>IMMOBILISATION CORPORELLE</v>
      </c>
      <c r="F120" s="60" t="e">
        <f>SUMIFS([49]mensuel_section_article1!$E$3:$E$962,[49]mensuel_section_article1!$B$3:$B$962,C120,[49]mensuel_section_article1!$C$3:$C$962,D120)</f>
        <v>#VALUE!</v>
      </c>
      <c r="G120" s="60" t="e">
        <f>SUMIFS([49]mensuel_section_article1!$G$3:$G$962,[49]mensuel_section_article1!$B$3:$B$962,C120,[49]mensuel_section_article1!$C$3:$C$962,D120)</f>
        <v>#VALUE!</v>
      </c>
      <c r="H120" s="60">
        <v>6920000.1430000002</v>
      </c>
      <c r="I120" s="60">
        <v>6920000.0999999996</v>
      </c>
      <c r="J120" s="60">
        <v>1895985.47</v>
      </c>
      <c r="K120" s="60">
        <f t="shared" si="61"/>
        <v>5024014.6730000004</v>
      </c>
      <c r="L120" s="61">
        <f t="shared" si="54"/>
        <v>0.2739863339335194</v>
      </c>
      <c r="M120" s="60"/>
      <c r="N120" s="24"/>
      <c r="O120" s="9"/>
      <c r="Q120" s="63"/>
      <c r="AK120" s="64"/>
      <c r="AL120" s="64"/>
      <c r="AM120" s="64"/>
      <c r="AN120" s="64"/>
      <c r="AO120" s="11">
        <v>1112225</v>
      </c>
      <c r="AP120" s="65" t="str">
        <f t="shared" si="62"/>
        <v>11122254</v>
      </c>
    </row>
    <row r="121" spans="1:42" s="62" customFormat="1" ht="27.75" hidden="1" customHeight="1" thickTop="1" thickBot="1" x14ac:dyDescent="0.3">
      <c r="A121" s="56" t="s">
        <v>22</v>
      </c>
      <c r="B121" s="56" t="s">
        <v>22</v>
      </c>
      <c r="C121" s="57">
        <f t="shared" si="59"/>
        <v>1112225</v>
      </c>
      <c r="D121" s="58">
        <v>5</v>
      </c>
      <c r="E121" s="59" t="str">
        <f t="shared" si="60"/>
        <v>IMMOBILISATION INCORPORELLE</v>
      </c>
      <c r="F121" s="60" t="e">
        <f>SUMIFS([49]mensuel_section_article1!$E$3:$E$962,[49]mensuel_section_article1!$B$3:$B$962,C121,[49]mensuel_section_article1!$C$3:$C$962,D121)</f>
        <v>#VALUE!</v>
      </c>
      <c r="G121" s="60" t="e">
        <f>SUMIFS([49]mensuel_section_article1!$G$3:$G$962,[49]mensuel_section_article1!$B$3:$B$962,C121,[49]mensuel_section_article1!$C$3:$C$962,D121)</f>
        <v>#VALUE!</v>
      </c>
      <c r="H121" s="60">
        <v>0</v>
      </c>
      <c r="I121" s="60">
        <v>0</v>
      </c>
      <c r="J121" s="60">
        <v>0</v>
      </c>
      <c r="K121" s="60">
        <f t="shared" si="61"/>
        <v>0</v>
      </c>
      <c r="L121" s="61" t="e">
        <f>IF(F121&lt;&gt;0,K121/F121,0)</f>
        <v>#VALUE!</v>
      </c>
      <c r="M121" s="60" t="e">
        <f>+SUMIFS([51]section_article!$H$10:$H$936,[51]section_article!$C$10:$C$936,C121,[51]section_article!$D$10:$D$936,D121)</f>
        <v>#VALUE!</v>
      </c>
      <c r="N121" s="24" t="e">
        <f t="shared" ref="N117:N123" si="63">+J121-M121</f>
        <v>#VALUE!</v>
      </c>
      <c r="O121" s="9">
        <f>4152171+K116</f>
        <v>22694979.304000016</v>
      </c>
      <c r="Q121" s="63"/>
      <c r="AK121" s="64"/>
      <c r="AL121" s="64"/>
      <c r="AM121" s="64"/>
      <c r="AN121" s="64"/>
      <c r="AO121" s="11">
        <v>1112225</v>
      </c>
      <c r="AP121" s="65" t="str">
        <f t="shared" si="62"/>
        <v>11122255</v>
      </c>
    </row>
    <row r="122" spans="1:42" s="62" customFormat="1" ht="27.75" hidden="1" customHeight="1" thickTop="1" thickBot="1" x14ac:dyDescent="0.3">
      <c r="A122" s="56" t="s">
        <v>22</v>
      </c>
      <c r="B122" s="56" t="s">
        <v>22</v>
      </c>
      <c r="C122" s="57">
        <f t="shared" si="59"/>
        <v>1112225</v>
      </c>
      <c r="D122" s="58">
        <v>7</v>
      </c>
      <c r="E122" s="59" t="str">
        <f t="shared" si="60"/>
        <v>SUBVENTIONS,QUOTES-PARTS ET CONTRIB.,ALLOC, INDEMNISATIONS</v>
      </c>
      <c r="F122" s="60" t="e">
        <f>SUMIFS([49]mensuel_section_article1!$E$3:$E$962,[49]mensuel_section_article1!$B$3:$B$962,C122,[49]mensuel_section_article1!$C$3:$C$962,D122)</f>
        <v>#VALUE!</v>
      </c>
      <c r="G122" s="60" t="e">
        <f>SUMIFS([49]mensuel_section_article1!$G$3:$G$962,[49]mensuel_section_article1!$B$3:$B$962,C122,[49]mensuel_section_article1!$C$3:$C$962,D122)</f>
        <v>#VALUE!</v>
      </c>
      <c r="H122" s="60">
        <v>0</v>
      </c>
      <c r="I122" s="60">
        <v>0</v>
      </c>
      <c r="J122" s="60">
        <v>0</v>
      </c>
      <c r="K122" s="60">
        <f t="shared" si="61"/>
        <v>0</v>
      </c>
      <c r="L122" s="61" t="e">
        <f>IF(F122&lt;&gt;0,K122/F122,0)</f>
        <v>#VALUE!</v>
      </c>
      <c r="M122" s="60" t="e">
        <f>+SUMIFS([51]section_article!$H$10:$H$936,[51]section_article!$C$10:$C$936,C122,[51]section_article!$D$10:$D$936,D122)</f>
        <v>#VALUE!</v>
      </c>
      <c r="N122" s="24" t="e">
        <f t="shared" si="63"/>
        <v>#VALUE!</v>
      </c>
      <c r="O122" s="9"/>
      <c r="Q122" s="63"/>
      <c r="AK122" s="64"/>
      <c r="AL122" s="64"/>
      <c r="AM122" s="64"/>
      <c r="AN122" s="64"/>
      <c r="AO122" s="11">
        <v>1112225</v>
      </c>
      <c r="AP122" s="65" t="str">
        <f t="shared" si="62"/>
        <v>11122257</v>
      </c>
    </row>
    <row r="123" spans="1:42" s="62" customFormat="1" ht="27.75" customHeight="1" thickTop="1" thickBot="1" x14ac:dyDescent="0.3">
      <c r="A123" s="56" t="s">
        <v>22</v>
      </c>
      <c r="B123" s="56" t="s">
        <v>22</v>
      </c>
      <c r="C123" s="57">
        <f t="shared" si="59"/>
        <v>1112225</v>
      </c>
      <c r="D123" s="58">
        <v>9</v>
      </c>
      <c r="E123" s="59" t="str">
        <f t="shared" si="60"/>
        <v>AUTRES DEPENSES PUBLIQUES</v>
      </c>
      <c r="F123" s="60" t="e">
        <f>SUMIFS([49]mensuel_section_article1!$E$3:$E$962,[49]mensuel_section_article1!$B$3:$B$962,C123,[49]mensuel_section_article1!$C$3:$C$962,D123)</f>
        <v>#VALUE!</v>
      </c>
      <c r="G123" s="60" t="e">
        <f>SUMIFS([49]mensuel_section_article1!$G$3:$G$962,[49]mensuel_section_article1!$B$3:$B$962,C123,[49]mensuel_section_article1!$C$3:$C$962,D123)</f>
        <v>#VALUE!</v>
      </c>
      <c r="H123" s="60">
        <v>28502348</v>
      </c>
      <c r="I123" s="60">
        <v>23226715</v>
      </c>
      <c r="J123" s="60">
        <v>21438771.169999998</v>
      </c>
      <c r="K123" s="60">
        <f t="shared" si="61"/>
        <v>7063576.8300000019</v>
      </c>
      <c r="L123" s="61">
        <f t="shared" ref="L123:L130" si="64">+J123/H123</f>
        <v>0.7521756161983566</v>
      </c>
      <c r="M123" s="60"/>
      <c r="N123" s="24"/>
      <c r="O123" s="9"/>
      <c r="P123" s="81"/>
      <c r="Q123" s="63"/>
      <c r="AK123" s="64"/>
      <c r="AL123" s="64"/>
      <c r="AM123" s="64"/>
      <c r="AN123" s="64"/>
      <c r="AO123" s="11">
        <v>1112225</v>
      </c>
      <c r="AP123" s="65" t="str">
        <f t="shared" si="62"/>
        <v>11122259</v>
      </c>
    </row>
    <row r="124" spans="1:42" s="1" customFormat="1" ht="27.75" customHeight="1" thickTop="1" x14ac:dyDescent="0.25">
      <c r="A124" s="50" t="s">
        <v>16</v>
      </c>
      <c r="B124" s="50" t="s">
        <v>16</v>
      </c>
      <c r="C124" s="50" t="s">
        <v>16</v>
      </c>
      <c r="D124" s="73">
        <v>1113</v>
      </c>
      <c r="E124" s="74" t="s">
        <v>38</v>
      </c>
      <c r="F124" s="75" t="e">
        <f>SUMIF($B$125:$B$165,"chap",F125:F165)</f>
        <v>#VALUE!</v>
      </c>
      <c r="G124" s="75" t="e">
        <f>SUMIF($B$125:$B$165,"chap",G125:G165)</f>
        <v>#VALUE!</v>
      </c>
      <c r="H124" s="75">
        <f>SUMIF($B$125:$B$165,"chap",H125:H165)</f>
        <v>1550176572.2390001</v>
      </c>
      <c r="I124" s="75">
        <v>1509529407.3000002</v>
      </c>
      <c r="J124" s="75">
        <f>SUMIF($B$125:$B$165,"chap",J125:J165)</f>
        <v>1365028832.6700001</v>
      </c>
      <c r="K124" s="75">
        <f>SUMIF($B$125:$B$165,"chap",K125:K165)</f>
        <v>185147739.56900015</v>
      </c>
      <c r="L124" s="76">
        <f t="shared" si="64"/>
        <v>0.88056345136116876</v>
      </c>
      <c r="M124" s="75"/>
      <c r="N124" s="75"/>
      <c r="O124" s="9"/>
      <c r="Q124" s="23"/>
      <c r="AK124" s="77"/>
      <c r="AL124" s="77"/>
      <c r="AM124" s="77"/>
      <c r="AN124" s="77"/>
      <c r="AO124" s="11"/>
    </row>
    <row r="125" spans="1:42" s="49" customFormat="1" ht="27.75" customHeight="1" x14ac:dyDescent="0.25">
      <c r="A125" s="43" t="s">
        <v>19</v>
      </c>
      <c r="B125" s="43" t="s">
        <v>19</v>
      </c>
      <c r="C125" s="43" t="s">
        <v>19</v>
      </c>
      <c r="D125" s="44">
        <v>11131</v>
      </c>
      <c r="E125" s="45" t="str">
        <f>VLOOKUP(D125,[49]INST!$A$1:$B$626,2,FALSE)</f>
        <v>SERVICES INTERNES</v>
      </c>
      <c r="F125" s="46" t="e">
        <f>SUMIF($B$126:$B$165,"section",F126:F165)</f>
        <v>#VALUE!</v>
      </c>
      <c r="G125" s="46" t="e">
        <f>SUMIF($B$126:$B$165,"section",G126:G165)</f>
        <v>#VALUE!</v>
      </c>
      <c r="H125" s="46">
        <f>SUMIF($B$126:$B$165,"section",H126:H165)</f>
        <v>1550176572.2390001</v>
      </c>
      <c r="I125" s="46">
        <v>1509529407.3000002</v>
      </c>
      <c r="J125" s="46">
        <f>SUMIF($B$126:$B$165,"section",J126:J165)</f>
        <v>1365028832.6700001</v>
      </c>
      <c r="K125" s="46">
        <f>SUMIF($B$126:$B$165,"section",K126:K165)</f>
        <v>185147739.56900015</v>
      </c>
      <c r="L125" s="47">
        <f t="shared" si="64"/>
        <v>0.88056345136116876</v>
      </c>
      <c r="M125" s="46"/>
      <c r="N125" s="46"/>
      <c r="O125" s="48"/>
      <c r="AO125" s="11"/>
    </row>
    <row r="126" spans="1:42" s="1" customFormat="1" ht="27.75" customHeight="1" thickBot="1" x14ac:dyDescent="0.3">
      <c r="A126" s="50" t="s">
        <v>20</v>
      </c>
      <c r="B126" s="50" t="s">
        <v>20</v>
      </c>
      <c r="C126" s="50" t="s">
        <v>20</v>
      </c>
      <c r="D126" s="51">
        <v>1113111</v>
      </c>
      <c r="E126" s="67" t="s">
        <v>21</v>
      </c>
      <c r="F126" s="68" t="e">
        <f>SUMIF($B$127:$B$133,"article",F127:F133)</f>
        <v>#VALUE!</v>
      </c>
      <c r="G126" s="68" t="e">
        <f>SUMIF($B$127:$B$133,"article",G127:G133)</f>
        <v>#VALUE!</v>
      </c>
      <c r="H126" s="68">
        <f>SUMIF($B$127:$B$133,"article",H127:H133)</f>
        <v>139804878.52000001</v>
      </c>
      <c r="I126" s="68">
        <v>165077009.25</v>
      </c>
      <c r="J126" s="68">
        <f>SUMIF($B$127:$B$133,"article",J127:J133)</f>
        <v>148081378.06999999</v>
      </c>
      <c r="K126" s="68">
        <f>SUMIF($B$127:$B$133,"article",K127:K133)</f>
        <v>-8276499.5500000082</v>
      </c>
      <c r="L126" s="69">
        <f t="shared" si="64"/>
        <v>1.059200362945961</v>
      </c>
      <c r="M126" s="68"/>
      <c r="N126" s="68"/>
      <c r="O126" s="9"/>
      <c r="Q126" s="23"/>
      <c r="AK126" s="70"/>
      <c r="AL126" s="70"/>
      <c r="AM126" s="70"/>
      <c r="AN126" s="70"/>
      <c r="AO126" s="11">
        <v>1113111</v>
      </c>
    </row>
    <row r="127" spans="1:42" s="62" customFormat="1" ht="27.75" customHeight="1" thickTop="1" thickBot="1" x14ac:dyDescent="0.3">
      <c r="A127" s="56" t="s">
        <v>22</v>
      </c>
      <c r="B127" s="56" t="s">
        <v>22</v>
      </c>
      <c r="C127" s="57">
        <f t="shared" ref="C127:C133" si="65">IF(A126="SECTION",D126,C126)</f>
        <v>1113111</v>
      </c>
      <c r="D127" s="58">
        <v>1</v>
      </c>
      <c r="E127" s="59" t="str">
        <f t="shared" ref="E127:E133" si="66">IF(D127=1, "DEPENSES DE PERSONNEL",  +IF(D127=2,"DEPENSES DE SERVICES ET CHARGES DIVERSES", +IF(D127=3,"ACHATS DE BIENS DE CONSOMMATION ET PETITS MATERIELS",+IF(D127=4,"IMMOBILISATION CORPORELLE",+IF(D127=5,"IMMOBILISATION INCORPORELLE",+IF(D127=7,"SUBVENTIONS,QUOTES-PARTS ET CONTRIB.,ALLOC, INDEMNISATIONS",+IF(D127=8,"AMORTISSEMENT DE LA DETTE",+IF(D127=9,"AUTRES DEPENSES PUBLIQUES",0))))))))</f>
        <v>DEPENSES DE PERSONNEL</v>
      </c>
      <c r="F127" s="60" t="e">
        <f>SUMIFS([49]mensuel_section_article1!$E$3:$E$962,[49]mensuel_section_article1!$B$3:$B$962,C127,[49]mensuel_section_article1!$C$3:$C$962,D127)</f>
        <v>#VALUE!</v>
      </c>
      <c r="G127" s="60" t="e">
        <f>SUMIFS([49]mensuel_section_article1!$G$3:$G$962,[49]mensuel_section_article1!$B$3:$B$962,C127,[49]mensuel_section_article1!$C$3:$C$962,D127)</f>
        <v>#VALUE!</v>
      </c>
      <c r="H127" s="60">
        <v>67784354</v>
      </c>
      <c r="I127" s="60">
        <v>93056484.650000006</v>
      </c>
      <c r="J127" s="60">
        <v>93055552.74000001</v>
      </c>
      <c r="K127" s="60">
        <f t="shared" ref="K127:K133" si="67">+H127-J127</f>
        <v>-25271198.74000001</v>
      </c>
      <c r="L127" s="61">
        <f t="shared" si="64"/>
        <v>1.3728175788176724</v>
      </c>
      <c r="M127" s="60"/>
      <c r="N127" s="24"/>
      <c r="O127" s="9"/>
      <c r="Q127" s="63"/>
      <c r="AK127" s="64"/>
      <c r="AL127" s="64"/>
      <c r="AM127" s="64"/>
      <c r="AN127" s="64"/>
      <c r="AO127" s="11">
        <v>1113111</v>
      </c>
      <c r="AP127" s="65" t="str">
        <f t="shared" ref="AP127:AP133" si="68">CONCATENATE(AO127,D127)</f>
        <v>11131111</v>
      </c>
    </row>
    <row r="128" spans="1:42" s="62" customFormat="1" ht="27.75" customHeight="1" thickTop="1" thickBot="1" x14ac:dyDescent="0.3">
      <c r="A128" s="56" t="s">
        <v>22</v>
      </c>
      <c r="B128" s="56" t="s">
        <v>22</v>
      </c>
      <c r="C128" s="57">
        <f t="shared" si="65"/>
        <v>1113111</v>
      </c>
      <c r="D128" s="58">
        <v>2</v>
      </c>
      <c r="E128" s="59" t="str">
        <f t="shared" si="66"/>
        <v>DEPENSES DE SERVICES ET CHARGES DIVERSES</v>
      </c>
      <c r="F128" s="60" t="e">
        <f>SUMIFS([49]mensuel_section_article1!$E$3:$E$962,[49]mensuel_section_article1!$B$3:$B$962,C128,[49]mensuel_section_article1!$C$3:$C$962,D128)</f>
        <v>#VALUE!</v>
      </c>
      <c r="G128" s="60" t="e">
        <f>SUMIFS([49]mensuel_section_article1!$G$3:$G$962,[49]mensuel_section_article1!$B$3:$B$962,C128,[49]mensuel_section_article1!$C$3:$C$962,D128)</f>
        <v>#VALUE!</v>
      </c>
      <c r="H128" s="60">
        <v>821220.96000000008</v>
      </c>
      <c r="I128" s="60">
        <v>821221</v>
      </c>
      <c r="J128" s="60">
        <v>399170</v>
      </c>
      <c r="K128" s="60">
        <f t="shared" si="67"/>
        <v>422050.96000000008</v>
      </c>
      <c r="L128" s="61">
        <f t="shared" si="64"/>
        <v>0.48606893813328872</v>
      </c>
      <c r="M128" s="60"/>
      <c r="N128" s="24"/>
      <c r="O128" s="9"/>
      <c r="Q128" s="63"/>
      <c r="AK128" s="64"/>
      <c r="AL128" s="64"/>
      <c r="AM128" s="64"/>
      <c r="AN128" s="64"/>
      <c r="AO128" s="11">
        <v>1113111</v>
      </c>
      <c r="AP128" s="65" t="str">
        <f t="shared" si="68"/>
        <v>11131112</v>
      </c>
    </row>
    <row r="129" spans="1:42" s="62" customFormat="1" ht="27.75" customHeight="1" thickTop="1" thickBot="1" x14ac:dyDescent="0.3">
      <c r="A129" s="56" t="s">
        <v>22</v>
      </c>
      <c r="B129" s="56" t="s">
        <v>22</v>
      </c>
      <c r="C129" s="57">
        <f t="shared" si="65"/>
        <v>1113111</v>
      </c>
      <c r="D129" s="58">
        <v>3</v>
      </c>
      <c r="E129" s="59" t="str">
        <f t="shared" si="66"/>
        <v>ACHATS DE BIENS DE CONSOMMATION ET PETITS MATERIELS</v>
      </c>
      <c r="F129" s="60" t="e">
        <f>SUMIFS([49]mensuel_section_article1!$E$3:$E$962,[49]mensuel_section_article1!$B$3:$B$962,C129,[49]mensuel_section_article1!$C$3:$C$962,D129)</f>
        <v>#VALUE!</v>
      </c>
      <c r="G129" s="60" t="e">
        <f>SUMIFS([49]mensuel_section_article1!$G$3:$G$962,[49]mensuel_section_article1!$B$3:$B$962,C129,[49]mensuel_section_article1!$C$3:$C$962,D129)</f>
        <v>#VALUE!</v>
      </c>
      <c r="H129" s="60">
        <v>741521.48000000021</v>
      </c>
      <c r="I129" s="60">
        <v>741521.5</v>
      </c>
      <c r="J129" s="60">
        <v>36300</v>
      </c>
      <c r="K129" s="60">
        <f t="shared" si="67"/>
        <v>705221.48000000021</v>
      </c>
      <c r="L129" s="61">
        <f t="shared" si="64"/>
        <v>4.895340321092248E-2</v>
      </c>
      <c r="M129" s="60"/>
      <c r="N129" s="24"/>
      <c r="O129" s="9"/>
      <c r="Q129" s="63"/>
      <c r="AK129" s="64"/>
      <c r="AL129" s="64"/>
      <c r="AM129" s="64"/>
      <c r="AN129" s="64"/>
      <c r="AO129" s="11">
        <v>1113111</v>
      </c>
      <c r="AP129" s="65" t="str">
        <f t="shared" si="68"/>
        <v>11131113</v>
      </c>
    </row>
    <row r="130" spans="1:42" s="62" customFormat="1" ht="27.75" customHeight="1" thickTop="1" thickBot="1" x14ac:dyDescent="0.3">
      <c r="A130" s="56" t="s">
        <v>22</v>
      </c>
      <c r="B130" s="56" t="s">
        <v>22</v>
      </c>
      <c r="C130" s="57">
        <f t="shared" si="65"/>
        <v>1113111</v>
      </c>
      <c r="D130" s="58">
        <v>4</v>
      </c>
      <c r="E130" s="59" t="str">
        <f t="shared" si="66"/>
        <v>IMMOBILISATION CORPORELLE</v>
      </c>
      <c r="F130" s="60" t="e">
        <f>SUMIFS([49]mensuel_section_article1!$E$3:$E$962,[49]mensuel_section_article1!$B$3:$B$962,C130,[49]mensuel_section_article1!$C$3:$C$962,D130)</f>
        <v>#VALUE!</v>
      </c>
      <c r="G130" s="60" t="e">
        <f>SUMIFS([49]mensuel_section_article1!$G$3:$G$962,[49]mensuel_section_article1!$B$3:$B$962,C130,[49]mensuel_section_article1!$C$3:$C$962,D130)</f>
        <v>#VALUE!</v>
      </c>
      <c r="H130" s="60">
        <v>17660160.34</v>
      </c>
      <c r="I130" s="60">
        <v>17660160.300000001</v>
      </c>
      <c r="J130" s="60">
        <v>4031346.66</v>
      </c>
      <c r="K130" s="60">
        <f t="shared" si="67"/>
        <v>13628813.68</v>
      </c>
      <c r="L130" s="61">
        <f t="shared" si="64"/>
        <v>0.22827350275348635</v>
      </c>
      <c r="M130" s="60"/>
      <c r="N130" s="24"/>
      <c r="O130" s="9"/>
      <c r="Q130" s="63"/>
      <c r="AK130" s="64"/>
      <c r="AL130" s="64"/>
      <c r="AM130" s="64"/>
      <c r="AN130" s="64"/>
      <c r="AO130" s="11">
        <v>1113111</v>
      </c>
      <c r="AP130" s="65" t="str">
        <f t="shared" si="68"/>
        <v>11131114</v>
      </c>
    </row>
    <row r="131" spans="1:42" s="62" customFormat="1" ht="27.75" hidden="1" customHeight="1" thickTop="1" thickBot="1" x14ac:dyDescent="0.3">
      <c r="A131" s="56" t="s">
        <v>22</v>
      </c>
      <c r="B131" s="56" t="s">
        <v>22</v>
      </c>
      <c r="C131" s="57">
        <f t="shared" si="65"/>
        <v>1113111</v>
      </c>
      <c r="D131" s="58">
        <v>5</v>
      </c>
      <c r="E131" s="59" t="str">
        <f t="shared" si="66"/>
        <v>IMMOBILISATION INCORPORELLE</v>
      </c>
      <c r="F131" s="60" t="e">
        <f>SUMIFS([49]mensuel_section_article1!$E$3:$E$962,[49]mensuel_section_article1!$B$3:$B$962,C131,[49]mensuel_section_article1!$C$3:$C$962,D131)</f>
        <v>#VALUE!</v>
      </c>
      <c r="G131" s="60" t="e">
        <f>SUMIFS([49]mensuel_section_article1!$G$3:$G$962,[49]mensuel_section_article1!$B$3:$B$962,C131,[49]mensuel_section_article1!$C$3:$C$962,D131)</f>
        <v>#VALUE!</v>
      </c>
      <c r="H131" s="60">
        <v>0</v>
      </c>
      <c r="I131" s="60">
        <v>0</v>
      </c>
      <c r="J131" s="60">
        <v>0</v>
      </c>
      <c r="K131" s="60">
        <f t="shared" si="67"/>
        <v>0</v>
      </c>
      <c r="L131" s="61" t="e">
        <f>IF(F131&lt;&gt;0,K131/F131,0)</f>
        <v>#VALUE!</v>
      </c>
      <c r="M131" s="60" t="e">
        <f>+SUMIFS([51]section_article!$H$10:$H$936,[51]section_article!$C$10:$C$936,C131,[51]section_article!$D$10:$D$936,D131)</f>
        <v>#VALUE!</v>
      </c>
      <c r="N131" s="24" t="e">
        <f t="shared" ref="N127:N133" si="69">+J131-M131</f>
        <v>#VALUE!</v>
      </c>
      <c r="O131" s="9"/>
      <c r="Q131" s="63"/>
      <c r="AK131" s="64"/>
      <c r="AL131" s="64"/>
      <c r="AM131" s="64"/>
      <c r="AN131" s="64"/>
      <c r="AO131" s="11">
        <v>1113111</v>
      </c>
      <c r="AP131" s="65" t="str">
        <f t="shared" si="68"/>
        <v>11131115</v>
      </c>
    </row>
    <row r="132" spans="1:42" s="62" customFormat="1" ht="27.75" customHeight="1" thickTop="1" thickBot="1" x14ac:dyDescent="0.3">
      <c r="A132" s="56" t="s">
        <v>22</v>
      </c>
      <c r="B132" s="56" t="s">
        <v>22</v>
      </c>
      <c r="C132" s="57">
        <f t="shared" si="65"/>
        <v>1113111</v>
      </c>
      <c r="D132" s="58">
        <v>7</v>
      </c>
      <c r="E132" s="59" t="str">
        <f t="shared" si="66"/>
        <v>SUBVENTIONS,QUOTES-PARTS ET CONTRIB.,ALLOC, INDEMNISATIONS</v>
      </c>
      <c r="F132" s="60" t="e">
        <f>SUMIFS([49]mensuel_section_article1!$E$3:$E$962,[49]mensuel_section_article1!$B$3:$B$962,C132,[49]mensuel_section_article1!$C$3:$C$962,D132)</f>
        <v>#VALUE!</v>
      </c>
      <c r="G132" s="60" t="e">
        <f>SUMIFS([49]mensuel_section_article1!$G$3:$G$962,[49]mensuel_section_article1!$B$3:$B$962,C132,[49]mensuel_section_article1!$C$3:$C$962,D132)</f>
        <v>#VALUE!</v>
      </c>
      <c r="H132" s="60">
        <v>5306617.68</v>
      </c>
      <c r="I132" s="60">
        <v>5306617.7</v>
      </c>
      <c r="J132" s="60">
        <v>3089900</v>
      </c>
      <c r="K132" s="60">
        <f t="shared" si="67"/>
        <v>2216717.6799999997</v>
      </c>
      <c r="L132" s="61">
        <f t="shared" ref="L132:L138" si="70">+J132/H132</f>
        <v>0.58227296299212572</v>
      </c>
      <c r="M132" s="60"/>
      <c r="N132" s="24"/>
      <c r="O132" s="9"/>
      <c r="Q132" s="63"/>
      <c r="AK132" s="64"/>
      <c r="AL132" s="64"/>
      <c r="AM132" s="64"/>
      <c r="AN132" s="64"/>
      <c r="AO132" s="11">
        <v>1113111</v>
      </c>
      <c r="AP132" s="65" t="str">
        <f t="shared" si="68"/>
        <v>11131117</v>
      </c>
    </row>
    <row r="133" spans="1:42" s="62" customFormat="1" ht="27.75" customHeight="1" thickTop="1" thickBot="1" x14ac:dyDescent="0.3">
      <c r="A133" s="56" t="s">
        <v>22</v>
      </c>
      <c r="B133" s="56" t="s">
        <v>22</v>
      </c>
      <c r="C133" s="57">
        <f t="shared" si="65"/>
        <v>1113111</v>
      </c>
      <c r="D133" s="58">
        <v>9</v>
      </c>
      <c r="E133" s="59" t="str">
        <f t="shared" si="66"/>
        <v>AUTRES DEPENSES PUBLIQUES</v>
      </c>
      <c r="F133" s="60" t="e">
        <f>SUMIFS([49]mensuel_section_article1!$E$3:$E$962,[49]mensuel_section_article1!$B$3:$B$962,C133,[49]mensuel_section_article1!$C$3:$C$962,D133)</f>
        <v>#VALUE!</v>
      </c>
      <c r="G133" s="60" t="e">
        <f>SUMIFS([49]mensuel_section_article1!$G$3:$G$962,[49]mensuel_section_article1!$B$3:$B$962,C133,[49]mensuel_section_article1!$C$3:$C$962,D133)</f>
        <v>#VALUE!</v>
      </c>
      <c r="H133" s="60">
        <v>47491004.060000002</v>
      </c>
      <c r="I133" s="60">
        <v>47491004.100000001</v>
      </c>
      <c r="J133" s="60">
        <v>47469108.670000002</v>
      </c>
      <c r="K133" s="60">
        <f t="shared" si="67"/>
        <v>21895.390000000596</v>
      </c>
      <c r="L133" s="61">
        <f t="shared" si="70"/>
        <v>0.99953895710496377</v>
      </c>
      <c r="M133" s="60"/>
      <c r="N133" s="24"/>
      <c r="O133" s="9"/>
      <c r="Q133" s="63"/>
      <c r="AK133" s="64"/>
      <c r="AL133" s="64"/>
      <c r="AM133" s="64"/>
      <c r="AN133" s="64"/>
      <c r="AO133" s="11">
        <v>1113111</v>
      </c>
      <c r="AP133" s="65" t="str">
        <f t="shared" si="68"/>
        <v>11131119</v>
      </c>
    </row>
    <row r="134" spans="1:42" s="1" customFormat="1" ht="27.75" customHeight="1" thickTop="1" thickBot="1" x14ac:dyDescent="0.3">
      <c r="A134" s="50" t="s">
        <v>20</v>
      </c>
      <c r="B134" s="50" t="s">
        <v>20</v>
      </c>
      <c r="C134" s="50" t="s">
        <v>20</v>
      </c>
      <c r="D134" s="51">
        <v>1113112</v>
      </c>
      <c r="E134" s="67" t="s">
        <v>23</v>
      </c>
      <c r="F134" s="68" t="e">
        <f>SUMIF($B$135:$B$141,"article",F135:F141)</f>
        <v>#VALUE!</v>
      </c>
      <c r="G134" s="68" t="e">
        <f>SUMIF($B$135:$B$141,"article",G135:G141)</f>
        <v>#VALUE!</v>
      </c>
      <c r="H134" s="68">
        <f>SUMIF($B$135:$B$141,"article",H135:H141)</f>
        <v>1173459199.619</v>
      </c>
      <c r="I134" s="68">
        <v>1081538410.75</v>
      </c>
      <c r="J134" s="68">
        <f>SUMIF($B$135:$B$141,"article",J135:J141)</f>
        <v>993984496.26999998</v>
      </c>
      <c r="K134" s="68">
        <f>SUMIF($B$135:$B$141,"article",K135:K141)</f>
        <v>179474703.34900016</v>
      </c>
      <c r="L134" s="69">
        <f t="shared" si="70"/>
        <v>0.84705501187661913</v>
      </c>
      <c r="M134" s="68"/>
      <c r="N134" s="68"/>
      <c r="O134" s="9"/>
      <c r="Q134" s="23"/>
      <c r="S134" s="8"/>
      <c r="AK134" s="70"/>
      <c r="AL134" s="70"/>
      <c r="AM134" s="70"/>
      <c r="AN134" s="70"/>
      <c r="AO134" s="11">
        <v>1113112</v>
      </c>
    </row>
    <row r="135" spans="1:42" s="62" customFormat="1" ht="27.75" customHeight="1" thickTop="1" thickBot="1" x14ac:dyDescent="0.3">
      <c r="A135" s="56" t="s">
        <v>22</v>
      </c>
      <c r="B135" s="56" t="s">
        <v>22</v>
      </c>
      <c r="C135" s="57">
        <f t="shared" ref="C135:C141" si="71">IF(A134="SECTION",D134,C134)</f>
        <v>1113112</v>
      </c>
      <c r="D135" s="58">
        <v>1</v>
      </c>
      <c r="E135" s="59" t="str">
        <f t="shared" ref="E135:E141" si="72">IF(D135=1, "DEPENSES DE PERSONNEL",  +IF(D135=2,"DEPENSES DE SERVICES ET CHARGES DIVERSES", +IF(D135=3,"ACHATS DE BIENS DE CONSOMMATION ET PETITS MATERIELS",+IF(D135=4,"IMMOBILISATION CORPORELLE",+IF(D135=5,"IMMOBILISATION INCORPORELLE",+IF(D135=7,"SUBVENTIONS,QUOTES-PARTS ET CONTRIB.,ALLOC, INDEMNISATIONS",+IF(D135=8,"AMORTISSEMENT DE LA DETTE",+IF(D135=9,"AUTRES DEPENSES PUBLIQUES",0))))))))</f>
        <v>DEPENSES DE PERSONNEL</v>
      </c>
      <c r="F135" s="60" t="e">
        <f>SUMIFS([49]mensuel_section_article1!$E$3:$E$962,[49]mensuel_section_article1!$B$3:$B$962,C135,[49]mensuel_section_article1!$C$3:$C$962,D135)</f>
        <v>#VALUE!</v>
      </c>
      <c r="G135" s="60" t="e">
        <f>SUMIFS([49]mensuel_section_article1!$G$3:$G$962,[49]mensuel_section_article1!$B$3:$B$962,C135,[49]mensuel_section_article1!$C$3:$C$962,D135)</f>
        <v>#VALUE!</v>
      </c>
      <c r="H135" s="60">
        <v>732836349.19000006</v>
      </c>
      <c r="I135" s="60">
        <v>640915560.3499999</v>
      </c>
      <c r="J135" s="60">
        <v>638845796.44999993</v>
      </c>
      <c r="K135" s="60">
        <f t="shared" ref="K135:K141" si="73">+H135-J135</f>
        <v>93990552.740000129</v>
      </c>
      <c r="L135" s="61">
        <f t="shared" si="70"/>
        <v>0.8717441447276908</v>
      </c>
      <c r="M135" s="60"/>
      <c r="N135" s="24"/>
      <c r="O135" s="9"/>
      <c r="Q135" s="63"/>
      <c r="R135" s="63"/>
      <c r="S135" s="63"/>
      <c r="AK135" s="64"/>
      <c r="AL135" s="64"/>
      <c r="AM135" s="64"/>
      <c r="AN135" s="64"/>
      <c r="AO135" s="11">
        <v>1113112</v>
      </c>
      <c r="AP135" s="65" t="str">
        <f t="shared" ref="AP135:AP141" si="74">CONCATENATE(AO135,D135)</f>
        <v>11131121</v>
      </c>
    </row>
    <row r="136" spans="1:42" s="62" customFormat="1" ht="27.75" customHeight="1" thickTop="1" thickBot="1" x14ac:dyDescent="0.3">
      <c r="A136" s="56" t="s">
        <v>22</v>
      </c>
      <c r="B136" s="56" t="s">
        <v>22</v>
      </c>
      <c r="C136" s="57">
        <f t="shared" si="71"/>
        <v>1113112</v>
      </c>
      <c r="D136" s="58">
        <v>2</v>
      </c>
      <c r="E136" s="59" t="str">
        <f t="shared" si="72"/>
        <v>DEPENSES DE SERVICES ET CHARGES DIVERSES</v>
      </c>
      <c r="F136" s="60" t="e">
        <f>SUMIFS([49]mensuel_section_article1!$E$3:$E$962,[49]mensuel_section_article1!$B$3:$B$962,C136,[49]mensuel_section_article1!$C$3:$C$962,D136)</f>
        <v>#VALUE!</v>
      </c>
      <c r="G136" s="60" t="e">
        <f>SUMIFS([49]mensuel_section_article1!$G$3:$G$962,[49]mensuel_section_article1!$B$3:$B$962,C136,[49]mensuel_section_article1!$C$3:$C$962,D136)</f>
        <v>#VALUE!</v>
      </c>
      <c r="H136" s="60">
        <v>70010309.780000001</v>
      </c>
      <c r="I136" s="60">
        <v>87346654.799999997</v>
      </c>
      <c r="J136" s="60">
        <v>55472919.799999997</v>
      </c>
      <c r="K136" s="60">
        <f t="shared" si="73"/>
        <v>14537389.980000004</v>
      </c>
      <c r="L136" s="61">
        <f t="shared" si="70"/>
        <v>0.7923535829839603</v>
      </c>
      <c r="M136" s="60"/>
      <c r="N136" s="24"/>
      <c r="O136" s="9"/>
      <c r="Q136" s="63"/>
      <c r="R136" s="63"/>
      <c r="S136" s="63"/>
      <c r="AK136" s="64"/>
      <c r="AL136" s="64"/>
      <c r="AM136" s="64"/>
      <c r="AN136" s="64"/>
      <c r="AO136" s="11">
        <v>1113112</v>
      </c>
      <c r="AP136" s="65" t="str">
        <f t="shared" si="74"/>
        <v>11131122</v>
      </c>
    </row>
    <row r="137" spans="1:42" s="62" customFormat="1" ht="27.75" customHeight="1" thickTop="1" thickBot="1" x14ac:dyDescent="0.3">
      <c r="A137" s="56" t="s">
        <v>22</v>
      </c>
      <c r="B137" s="56" t="s">
        <v>22</v>
      </c>
      <c r="C137" s="57">
        <f t="shared" si="71"/>
        <v>1113112</v>
      </c>
      <c r="D137" s="58">
        <v>3</v>
      </c>
      <c r="E137" s="59" t="str">
        <f t="shared" si="72"/>
        <v>ACHATS DE BIENS DE CONSOMMATION ET PETITS MATERIELS</v>
      </c>
      <c r="F137" s="60" t="e">
        <f>SUMIFS([49]mensuel_section_article1!$E$3:$E$962,[49]mensuel_section_article1!$B$3:$B$962,C137,[49]mensuel_section_article1!$C$3:$C$962,D137)</f>
        <v>#VALUE!</v>
      </c>
      <c r="G137" s="60" t="e">
        <f>SUMIFS([49]mensuel_section_article1!$G$3:$G$962,[49]mensuel_section_article1!$B$3:$B$962,C137,[49]mensuel_section_article1!$C$3:$C$962,D137)</f>
        <v>#VALUE!</v>
      </c>
      <c r="H137" s="60">
        <v>110548043.741</v>
      </c>
      <c r="I137" s="60">
        <v>102711698.7</v>
      </c>
      <c r="J137" s="60">
        <v>64792394.959999993</v>
      </c>
      <c r="K137" s="60">
        <f t="shared" si="73"/>
        <v>45755648.781000003</v>
      </c>
      <c r="L137" s="61">
        <f t="shared" si="70"/>
        <v>0.58610168726097345</v>
      </c>
      <c r="M137" s="60"/>
      <c r="N137" s="24"/>
      <c r="O137" s="9"/>
      <c r="Q137" s="63"/>
      <c r="R137" s="63"/>
      <c r="S137" s="63"/>
      <c r="AK137" s="64"/>
      <c r="AL137" s="64"/>
      <c r="AM137" s="64"/>
      <c r="AN137" s="64"/>
      <c r="AO137" s="11">
        <v>1113112</v>
      </c>
      <c r="AP137" s="65" t="str">
        <f t="shared" si="74"/>
        <v>11131123</v>
      </c>
    </row>
    <row r="138" spans="1:42" s="62" customFormat="1" ht="27.75" customHeight="1" thickTop="1" thickBot="1" x14ac:dyDescent="0.3">
      <c r="A138" s="56" t="s">
        <v>22</v>
      </c>
      <c r="B138" s="56" t="s">
        <v>22</v>
      </c>
      <c r="C138" s="57">
        <f t="shared" si="71"/>
        <v>1113112</v>
      </c>
      <c r="D138" s="58">
        <v>4</v>
      </c>
      <c r="E138" s="59" t="str">
        <f t="shared" si="72"/>
        <v>IMMOBILISATION CORPORELLE</v>
      </c>
      <c r="F138" s="60" t="e">
        <f>SUMIFS([49]mensuel_section_article1!$E$3:$E$962,[49]mensuel_section_article1!$B$3:$B$962,C138,[49]mensuel_section_article1!$C$3:$C$962,D138)</f>
        <v>#VALUE!</v>
      </c>
      <c r="G138" s="60" t="e">
        <f>SUMIFS([49]mensuel_section_article1!$G$3:$G$962,[49]mensuel_section_article1!$B$3:$B$962,C138,[49]mensuel_section_article1!$C$3:$C$962,D138)</f>
        <v>#VALUE!</v>
      </c>
      <c r="H138" s="60">
        <v>13922733.088</v>
      </c>
      <c r="I138" s="60">
        <v>13922733.1</v>
      </c>
      <c r="J138" s="60">
        <v>2213340.69</v>
      </c>
      <c r="K138" s="60">
        <f t="shared" si="73"/>
        <v>11709392.398</v>
      </c>
      <c r="L138" s="61">
        <f t="shared" si="70"/>
        <v>0.15897314672416421</v>
      </c>
      <c r="M138" s="60"/>
      <c r="N138" s="24"/>
      <c r="O138" s="9"/>
      <c r="Q138" s="63"/>
      <c r="AK138" s="64"/>
      <c r="AL138" s="64"/>
      <c r="AM138" s="64"/>
      <c r="AN138" s="64"/>
      <c r="AO138" s="11">
        <v>1113112</v>
      </c>
      <c r="AP138" s="65" t="str">
        <f t="shared" si="74"/>
        <v>11131124</v>
      </c>
    </row>
    <row r="139" spans="1:42" s="62" customFormat="1" ht="27.75" hidden="1" customHeight="1" thickTop="1" thickBot="1" x14ac:dyDescent="0.3">
      <c r="A139" s="56" t="s">
        <v>22</v>
      </c>
      <c r="B139" s="56" t="s">
        <v>22</v>
      </c>
      <c r="C139" s="57">
        <f t="shared" si="71"/>
        <v>1113112</v>
      </c>
      <c r="D139" s="58">
        <v>5</v>
      </c>
      <c r="E139" s="59" t="str">
        <f t="shared" si="72"/>
        <v>IMMOBILISATION INCORPORELLE</v>
      </c>
      <c r="F139" s="60" t="e">
        <f>SUMIFS([49]mensuel_section_article1!$E$3:$E$962,[49]mensuel_section_article1!$B$3:$B$962,C139,[49]mensuel_section_article1!$C$3:$C$962,D139)</f>
        <v>#VALUE!</v>
      </c>
      <c r="G139" s="60" t="e">
        <f>SUMIFS([49]mensuel_section_article1!$G$3:$G$962,[49]mensuel_section_article1!$B$3:$B$962,C139,[49]mensuel_section_article1!$C$3:$C$962,D139)</f>
        <v>#VALUE!</v>
      </c>
      <c r="H139" s="60">
        <v>0</v>
      </c>
      <c r="I139" s="60">
        <v>0</v>
      </c>
      <c r="J139" s="60">
        <v>0</v>
      </c>
      <c r="K139" s="60">
        <f t="shared" si="73"/>
        <v>0</v>
      </c>
      <c r="L139" s="61" t="e">
        <f>IF(F139&lt;&gt;0,K139/F139,0)</f>
        <v>#VALUE!</v>
      </c>
      <c r="M139" s="60" t="e">
        <f>+SUMIFS([51]section_article!$H$10:$H$936,[51]section_article!$C$10:$C$936,C139,[51]section_article!$D$10:$D$936,D139)</f>
        <v>#VALUE!</v>
      </c>
      <c r="N139" s="24" t="e">
        <f t="shared" ref="N135:N141" si="75">+J139-M139</f>
        <v>#VALUE!</v>
      </c>
      <c r="O139" s="9"/>
      <c r="Q139" s="63"/>
      <c r="S139" s="78"/>
      <c r="AK139" s="64"/>
      <c r="AL139" s="64"/>
      <c r="AM139" s="64"/>
      <c r="AN139" s="64"/>
      <c r="AO139" s="11">
        <v>1113112</v>
      </c>
      <c r="AP139" s="65" t="str">
        <f t="shared" si="74"/>
        <v>11131125</v>
      </c>
    </row>
    <row r="140" spans="1:42" s="62" customFormat="1" ht="27.75" customHeight="1" thickTop="1" thickBot="1" x14ac:dyDescent="0.3">
      <c r="A140" s="56" t="s">
        <v>22</v>
      </c>
      <c r="B140" s="56" t="s">
        <v>22</v>
      </c>
      <c r="C140" s="57">
        <f t="shared" si="71"/>
        <v>1113112</v>
      </c>
      <c r="D140" s="58">
        <v>7</v>
      </c>
      <c r="E140" s="59" t="str">
        <f t="shared" si="72"/>
        <v>SUBVENTIONS,QUOTES-PARTS ET CONTRIB.,ALLOC, INDEMNISATIONS</v>
      </c>
      <c r="F140" s="60" t="e">
        <f>SUMIFS([49]mensuel_section_article1!$E$3:$E$962,[49]mensuel_section_article1!$B$3:$B$962,C140,[49]mensuel_section_article1!$C$3:$C$962,D140)</f>
        <v>#VALUE!</v>
      </c>
      <c r="G140" s="60" t="e">
        <f>SUMIFS([49]mensuel_section_article1!$G$3:$G$962,[49]mensuel_section_article1!$B$3:$B$962,C140,[49]mensuel_section_article1!$C$3:$C$962,D140)</f>
        <v>#VALUE!</v>
      </c>
      <c r="H140" s="60">
        <v>3000000.04</v>
      </c>
      <c r="I140" s="60">
        <v>3000000</v>
      </c>
      <c r="J140" s="60">
        <v>0</v>
      </c>
      <c r="K140" s="60">
        <f t="shared" si="73"/>
        <v>3000000.04</v>
      </c>
      <c r="L140" s="61">
        <f>+J140/H140</f>
        <v>0</v>
      </c>
      <c r="M140" s="60"/>
      <c r="N140" s="24"/>
      <c r="O140" s="9"/>
      <c r="Q140" s="63"/>
      <c r="AK140" s="64"/>
      <c r="AL140" s="64"/>
      <c r="AM140" s="64"/>
      <c r="AN140" s="64"/>
      <c r="AO140" s="11">
        <v>1113112</v>
      </c>
      <c r="AP140" s="65" t="str">
        <f t="shared" si="74"/>
        <v>11131127</v>
      </c>
    </row>
    <row r="141" spans="1:42" s="62" customFormat="1" ht="27.75" customHeight="1" thickTop="1" thickBot="1" x14ac:dyDescent="0.3">
      <c r="A141" s="56" t="s">
        <v>22</v>
      </c>
      <c r="B141" s="56" t="s">
        <v>22</v>
      </c>
      <c r="C141" s="57">
        <f t="shared" si="71"/>
        <v>1113112</v>
      </c>
      <c r="D141" s="58">
        <v>9</v>
      </c>
      <c r="E141" s="59" t="str">
        <f t="shared" si="72"/>
        <v>AUTRES DEPENSES PUBLIQUES</v>
      </c>
      <c r="F141" s="60" t="e">
        <f>SUMIFS([49]mensuel_section_article1!$E$3:$E$962,[49]mensuel_section_article1!$B$3:$B$962,C141,[49]mensuel_section_article1!$C$3:$C$962,D141)</f>
        <v>#VALUE!</v>
      </c>
      <c r="G141" s="60" t="e">
        <f>SUMIFS([49]mensuel_section_article1!$G$3:$G$962,[49]mensuel_section_article1!$B$3:$B$962,C141,[49]mensuel_section_article1!$C$3:$C$962,D141)</f>
        <v>#VALUE!</v>
      </c>
      <c r="H141" s="60">
        <v>243141763.78000003</v>
      </c>
      <c r="I141" s="60">
        <v>233641763.80000001</v>
      </c>
      <c r="J141" s="60">
        <v>232660044.37</v>
      </c>
      <c r="K141" s="60">
        <f t="shared" si="73"/>
        <v>10481719.410000026</v>
      </c>
      <c r="L141" s="61">
        <f>+J141/H141</f>
        <v>0.95689050187410785</v>
      </c>
      <c r="M141" s="60"/>
      <c r="N141" s="24"/>
      <c r="O141" s="9"/>
      <c r="Q141" s="63"/>
      <c r="AK141" s="64"/>
      <c r="AL141" s="64"/>
      <c r="AM141" s="64"/>
      <c r="AN141" s="64"/>
      <c r="AO141" s="11">
        <v>1113112</v>
      </c>
      <c r="AP141" s="65" t="str">
        <f t="shared" si="74"/>
        <v>11131129</v>
      </c>
    </row>
    <row r="142" spans="1:42" s="1" customFormat="1" ht="27.75" customHeight="1" thickTop="1" thickBot="1" x14ac:dyDescent="0.3">
      <c r="A142" s="82" t="s">
        <v>20</v>
      </c>
      <c r="B142" s="82" t="s">
        <v>20</v>
      </c>
      <c r="C142" s="82" t="s">
        <v>20</v>
      </c>
      <c r="D142" s="51">
        <v>1113113</v>
      </c>
      <c r="E142" s="83" t="s">
        <v>39</v>
      </c>
      <c r="F142" s="68" t="e">
        <f>SUMIF($B$143:$B$149,"article",F143:F149)</f>
        <v>#VALUE!</v>
      </c>
      <c r="G142" s="68" t="e">
        <f>SUMIF($B$143:$B$149,"article",G143:G149)</f>
        <v>#VALUE!</v>
      </c>
      <c r="H142" s="68">
        <f>SUMIF($B$143:$B$149,"article",H143:H149)</f>
        <v>130071764.52000001</v>
      </c>
      <c r="I142" s="68">
        <v>151635752.69999999</v>
      </c>
      <c r="J142" s="68">
        <f>SUMIF($B$143:$B$149,"article",J143:J149)</f>
        <v>131929544.14000002</v>
      </c>
      <c r="K142" s="68">
        <f>SUMIF($B$143:$B$149,"article",K143:K149)</f>
        <v>-1857779.620000001</v>
      </c>
      <c r="L142" s="69">
        <f>+J142/H142</f>
        <v>1.0142827278991386</v>
      </c>
      <c r="M142" s="68"/>
      <c r="N142" s="68"/>
      <c r="O142" s="9"/>
      <c r="Q142" s="23"/>
      <c r="AK142" s="70"/>
      <c r="AL142" s="70"/>
      <c r="AM142" s="70"/>
      <c r="AN142" s="70"/>
      <c r="AO142" s="11">
        <v>1113113</v>
      </c>
    </row>
    <row r="143" spans="1:42" s="62" customFormat="1" ht="27.75" customHeight="1" thickTop="1" thickBot="1" x14ac:dyDescent="0.3">
      <c r="A143" s="56" t="s">
        <v>22</v>
      </c>
      <c r="B143" s="56" t="s">
        <v>22</v>
      </c>
      <c r="C143" s="57">
        <f t="shared" ref="C143:C149" si="76">IF(A142="SECTION",D142,C142)</f>
        <v>1113113</v>
      </c>
      <c r="D143" s="58">
        <v>1</v>
      </c>
      <c r="E143" s="59" t="str">
        <f t="shared" ref="E143:E149" si="77">IF(D143=1, "DEPENSES DE PERSONNEL",  +IF(D143=2,"DEPENSES DE SERVICES ET CHARGES DIVERSES", +IF(D143=3,"ACHATS DE BIENS DE CONSOMMATION ET PETITS MATERIELS",+IF(D143=4,"IMMOBILISATION CORPORELLE",+IF(D143=5,"IMMOBILISATION INCORPORELLE",+IF(D143=7,"SUBVENTIONS,QUOTES-PARTS ET CONTRIB.,ALLOC, INDEMNISATIONS",+IF(D143=8,"AMORTISSEMENT DE LA DETTE",+IF(D143=9,"AUTRES DEPENSES PUBLIQUES",0))))))))</f>
        <v>DEPENSES DE PERSONNEL</v>
      </c>
      <c r="F143" s="60" t="e">
        <f>SUMIFS([49]mensuel_section_article1!$E$3:$E$962,[49]mensuel_section_article1!$B$3:$B$962,C143,[49]mensuel_section_article1!$C$3:$C$962,D143)</f>
        <v>#VALUE!</v>
      </c>
      <c r="G143" s="60" t="e">
        <f>SUMIFS([49]mensuel_section_article1!$G$3:$G$962,[49]mensuel_section_article1!$B$3:$B$962,C143,[49]mensuel_section_article1!$C$3:$C$962,D143)</f>
        <v>#VALUE!</v>
      </c>
      <c r="H143" s="60">
        <v>110987417.48000002</v>
      </c>
      <c r="I143" s="60">
        <v>132551405.7</v>
      </c>
      <c r="J143" s="60">
        <v>113939349.79000002</v>
      </c>
      <c r="K143" s="60">
        <f t="shared" ref="K143:K149" si="78">+H143-J143</f>
        <v>-2951932.3100000024</v>
      </c>
      <c r="L143" s="61">
        <f>+J143/H143</f>
        <v>1.0265969997052318</v>
      </c>
      <c r="M143" s="60"/>
      <c r="N143" s="24"/>
      <c r="O143" s="9"/>
      <c r="Q143" s="63"/>
      <c r="AK143" s="64"/>
      <c r="AL143" s="64"/>
      <c r="AM143" s="64"/>
      <c r="AN143" s="64"/>
      <c r="AO143" s="11">
        <v>1113113</v>
      </c>
      <c r="AP143" s="65" t="str">
        <f t="shared" ref="AP143:AP149" si="79">CONCATENATE(AO143,D143)</f>
        <v>11131131</v>
      </c>
    </row>
    <row r="144" spans="1:42" s="62" customFormat="1" ht="27.75" customHeight="1" thickTop="1" thickBot="1" x14ac:dyDescent="0.3">
      <c r="A144" s="56" t="s">
        <v>22</v>
      </c>
      <c r="B144" s="56" t="s">
        <v>22</v>
      </c>
      <c r="C144" s="57">
        <f t="shared" si="76"/>
        <v>1113113</v>
      </c>
      <c r="D144" s="58">
        <v>2</v>
      </c>
      <c r="E144" s="59" t="str">
        <f t="shared" si="77"/>
        <v>DEPENSES DE SERVICES ET CHARGES DIVERSES</v>
      </c>
      <c r="F144" s="60" t="e">
        <f>SUMIFS([49]mensuel_section_article1!$E$3:$E$962,[49]mensuel_section_article1!$B$3:$B$962,C144,[49]mensuel_section_article1!$C$3:$C$962,D144)</f>
        <v>#VALUE!</v>
      </c>
      <c r="G144" s="60" t="e">
        <f>SUMIFS([49]mensuel_section_article1!$G$3:$G$962,[49]mensuel_section_article1!$B$3:$B$962,C144,[49]mensuel_section_article1!$C$3:$C$962,D144)</f>
        <v>#VALUE!</v>
      </c>
      <c r="H144" s="60">
        <v>19084347.039999999</v>
      </c>
      <c r="I144" s="60">
        <v>19084347</v>
      </c>
      <c r="J144" s="60">
        <v>17990194.349999998</v>
      </c>
      <c r="K144" s="60">
        <f t="shared" si="78"/>
        <v>1094152.6900000013</v>
      </c>
      <c r="L144" s="61">
        <f>+J144/H144</f>
        <v>0.94266753336088982</v>
      </c>
      <c r="M144" s="60"/>
      <c r="N144" s="24"/>
      <c r="O144" s="9"/>
      <c r="Q144" s="63"/>
      <c r="AK144" s="64"/>
      <c r="AL144" s="64"/>
      <c r="AM144" s="64"/>
      <c r="AN144" s="64"/>
      <c r="AO144" s="11">
        <v>1113113</v>
      </c>
      <c r="AP144" s="65" t="str">
        <f t="shared" si="79"/>
        <v>11131132</v>
      </c>
    </row>
    <row r="145" spans="1:42" s="62" customFormat="1" ht="27.75" hidden="1" customHeight="1" thickTop="1" thickBot="1" x14ac:dyDescent="0.3">
      <c r="A145" s="56" t="s">
        <v>22</v>
      </c>
      <c r="B145" s="56" t="s">
        <v>22</v>
      </c>
      <c r="C145" s="57">
        <f t="shared" si="76"/>
        <v>1113113</v>
      </c>
      <c r="D145" s="58">
        <v>3</v>
      </c>
      <c r="E145" s="59" t="str">
        <f t="shared" si="77"/>
        <v>ACHATS DE BIENS DE CONSOMMATION ET PETITS MATERIELS</v>
      </c>
      <c r="F145" s="60" t="e">
        <f>SUMIFS([49]mensuel_section_article1!$E$3:$E$962,[49]mensuel_section_article1!$B$3:$B$962,C145,[49]mensuel_section_article1!$C$3:$C$962,D145)</f>
        <v>#VALUE!</v>
      </c>
      <c r="G145" s="60" t="e">
        <f>SUMIFS([49]mensuel_section_article1!$G$3:$G$962,[49]mensuel_section_article1!$B$3:$B$962,C145,[49]mensuel_section_article1!$C$3:$C$962,D145)</f>
        <v>#VALUE!</v>
      </c>
      <c r="H145" s="60">
        <v>0</v>
      </c>
      <c r="I145" s="60">
        <v>0</v>
      </c>
      <c r="J145" s="60">
        <v>0</v>
      </c>
      <c r="K145" s="60">
        <f t="shared" si="78"/>
        <v>0</v>
      </c>
      <c r="L145" s="61" t="e">
        <f>IF(F145&lt;&gt;0,K145/F145,0)</f>
        <v>#VALUE!</v>
      </c>
      <c r="M145" s="60" t="e">
        <f>+SUMIFS([51]section_article!$H$10:$H$936,[51]section_article!$C$10:$C$936,C145,[51]section_article!$D$10:$D$936,D145)</f>
        <v>#VALUE!</v>
      </c>
      <c r="N145" s="24" t="e">
        <f t="shared" ref="N143:N149" si="80">+J145-M145</f>
        <v>#VALUE!</v>
      </c>
      <c r="O145" s="9"/>
      <c r="Q145" s="63"/>
      <c r="AK145" s="64"/>
      <c r="AL145" s="64"/>
      <c r="AM145" s="64"/>
      <c r="AN145" s="64"/>
      <c r="AO145" s="11">
        <v>1113113</v>
      </c>
      <c r="AP145" s="65" t="str">
        <f t="shared" si="79"/>
        <v>11131133</v>
      </c>
    </row>
    <row r="146" spans="1:42" s="62" customFormat="1" ht="27.75" hidden="1" customHeight="1" thickTop="1" thickBot="1" x14ac:dyDescent="0.3">
      <c r="A146" s="56" t="s">
        <v>22</v>
      </c>
      <c r="B146" s="56" t="s">
        <v>22</v>
      </c>
      <c r="C146" s="57">
        <f t="shared" si="76"/>
        <v>1113113</v>
      </c>
      <c r="D146" s="58">
        <v>4</v>
      </c>
      <c r="E146" s="59" t="str">
        <f t="shared" si="77"/>
        <v>IMMOBILISATION CORPORELLE</v>
      </c>
      <c r="F146" s="60" t="e">
        <f>SUMIFS([49]mensuel_section_article1!$E$3:$E$962,[49]mensuel_section_article1!$B$3:$B$962,C146,[49]mensuel_section_article1!$C$3:$C$962,D146)</f>
        <v>#VALUE!</v>
      </c>
      <c r="G146" s="60" t="e">
        <f>SUMIFS([49]mensuel_section_article1!$G$3:$G$962,[49]mensuel_section_article1!$B$3:$B$962,C146,[49]mensuel_section_article1!$C$3:$C$962,D146)</f>
        <v>#VALUE!</v>
      </c>
      <c r="H146" s="60">
        <v>0</v>
      </c>
      <c r="I146" s="60">
        <v>0</v>
      </c>
      <c r="J146" s="60">
        <v>0</v>
      </c>
      <c r="K146" s="60">
        <f t="shared" si="78"/>
        <v>0</v>
      </c>
      <c r="L146" s="61" t="e">
        <f>IF(F146&lt;&gt;0,K146/F146,0)</f>
        <v>#VALUE!</v>
      </c>
      <c r="M146" s="60" t="e">
        <f>+SUMIFS([51]section_article!$H$10:$H$936,[51]section_article!$C$10:$C$936,C146,[51]section_article!$D$10:$D$936,D146)</f>
        <v>#VALUE!</v>
      </c>
      <c r="N146" s="24" t="e">
        <f t="shared" si="80"/>
        <v>#VALUE!</v>
      </c>
      <c r="O146" s="9"/>
      <c r="Q146" s="63"/>
      <c r="AK146" s="64"/>
      <c r="AL146" s="64"/>
      <c r="AM146" s="64"/>
      <c r="AN146" s="64"/>
      <c r="AO146" s="11">
        <v>1113113</v>
      </c>
      <c r="AP146" s="65" t="str">
        <f t="shared" si="79"/>
        <v>11131134</v>
      </c>
    </row>
    <row r="147" spans="1:42" s="62" customFormat="1" ht="27.75" hidden="1" customHeight="1" thickTop="1" thickBot="1" x14ac:dyDescent="0.3">
      <c r="A147" s="56" t="s">
        <v>22</v>
      </c>
      <c r="B147" s="56" t="s">
        <v>22</v>
      </c>
      <c r="C147" s="57">
        <f t="shared" si="76"/>
        <v>1113113</v>
      </c>
      <c r="D147" s="58">
        <v>5</v>
      </c>
      <c r="E147" s="59" t="str">
        <f t="shared" si="77"/>
        <v>IMMOBILISATION INCORPORELLE</v>
      </c>
      <c r="F147" s="60" t="e">
        <f>SUMIFS([49]mensuel_section_article1!$E$3:$E$962,[49]mensuel_section_article1!$B$3:$B$962,C147,[49]mensuel_section_article1!$C$3:$C$962,D147)</f>
        <v>#VALUE!</v>
      </c>
      <c r="G147" s="60" t="e">
        <f>SUMIFS([49]mensuel_section_article1!$G$3:$G$962,[49]mensuel_section_article1!$B$3:$B$962,C147,[49]mensuel_section_article1!$C$3:$C$962,D147)</f>
        <v>#VALUE!</v>
      </c>
      <c r="H147" s="60">
        <v>0</v>
      </c>
      <c r="I147" s="60">
        <v>0</v>
      </c>
      <c r="J147" s="60">
        <v>0</v>
      </c>
      <c r="K147" s="60">
        <f t="shared" si="78"/>
        <v>0</v>
      </c>
      <c r="L147" s="61" t="e">
        <f>IF(F147&lt;&gt;0,K147/F147,0)</f>
        <v>#VALUE!</v>
      </c>
      <c r="M147" s="60" t="e">
        <f>+SUMIFS([51]section_article!$H$10:$H$936,[51]section_article!$C$10:$C$936,C147,[51]section_article!$D$10:$D$936,D147)</f>
        <v>#VALUE!</v>
      </c>
      <c r="N147" s="24" t="e">
        <f t="shared" si="80"/>
        <v>#VALUE!</v>
      </c>
      <c r="O147" s="9"/>
      <c r="Q147" s="63"/>
      <c r="AK147" s="64"/>
      <c r="AL147" s="64"/>
      <c r="AM147" s="64"/>
      <c r="AN147" s="64"/>
      <c r="AO147" s="11">
        <v>1113113</v>
      </c>
      <c r="AP147" s="65" t="str">
        <f t="shared" si="79"/>
        <v>11131135</v>
      </c>
    </row>
    <row r="148" spans="1:42" s="62" customFormat="1" ht="27.75" hidden="1" customHeight="1" thickTop="1" thickBot="1" x14ac:dyDescent="0.3">
      <c r="A148" s="56" t="s">
        <v>22</v>
      </c>
      <c r="B148" s="56" t="s">
        <v>22</v>
      </c>
      <c r="C148" s="57">
        <f t="shared" si="76"/>
        <v>1113113</v>
      </c>
      <c r="D148" s="58">
        <v>7</v>
      </c>
      <c r="E148" s="59" t="str">
        <f t="shared" si="77"/>
        <v>SUBVENTIONS,QUOTES-PARTS ET CONTRIB.,ALLOC, INDEMNISATIONS</v>
      </c>
      <c r="F148" s="60" t="e">
        <f>SUMIFS([49]mensuel_section_article1!$E$3:$E$962,[49]mensuel_section_article1!$B$3:$B$962,C148,[49]mensuel_section_article1!$C$3:$C$962,D148)</f>
        <v>#VALUE!</v>
      </c>
      <c r="G148" s="60" t="e">
        <f>SUMIFS([49]mensuel_section_article1!$G$3:$G$962,[49]mensuel_section_article1!$B$3:$B$962,C148,[49]mensuel_section_article1!$C$3:$C$962,D148)</f>
        <v>#VALUE!</v>
      </c>
      <c r="H148" s="60">
        <v>0</v>
      </c>
      <c r="I148" s="60">
        <v>0</v>
      </c>
      <c r="J148" s="60">
        <v>0</v>
      </c>
      <c r="K148" s="60">
        <f t="shared" si="78"/>
        <v>0</v>
      </c>
      <c r="L148" s="61" t="e">
        <f>IF(F148&lt;&gt;0,K148/F148,0)</f>
        <v>#VALUE!</v>
      </c>
      <c r="M148" s="60" t="e">
        <f>+SUMIFS([51]section_article!$H$10:$H$936,[51]section_article!$C$10:$C$936,C148,[51]section_article!$D$10:$D$936,D148)</f>
        <v>#VALUE!</v>
      </c>
      <c r="N148" s="24" t="e">
        <f t="shared" si="80"/>
        <v>#VALUE!</v>
      </c>
      <c r="O148" s="9"/>
      <c r="Q148" s="63"/>
      <c r="AK148" s="64"/>
      <c r="AL148" s="64"/>
      <c r="AM148" s="64"/>
      <c r="AN148" s="64"/>
      <c r="AO148" s="11">
        <v>1113113</v>
      </c>
      <c r="AP148" s="65" t="str">
        <f t="shared" si="79"/>
        <v>11131137</v>
      </c>
    </row>
    <row r="149" spans="1:42" s="62" customFormat="1" ht="27.75" hidden="1" customHeight="1" thickTop="1" thickBot="1" x14ac:dyDescent="0.3">
      <c r="A149" s="56" t="s">
        <v>22</v>
      </c>
      <c r="B149" s="56" t="s">
        <v>22</v>
      </c>
      <c r="C149" s="57">
        <f t="shared" si="76"/>
        <v>1113113</v>
      </c>
      <c r="D149" s="58">
        <v>9</v>
      </c>
      <c r="E149" s="59" t="str">
        <f t="shared" si="77"/>
        <v>AUTRES DEPENSES PUBLIQUES</v>
      </c>
      <c r="F149" s="60" t="e">
        <f>SUMIFS([49]mensuel_section_article1!$E$3:$E$962,[49]mensuel_section_article1!$B$3:$B$962,C149,[49]mensuel_section_article1!$C$3:$C$962,D149)</f>
        <v>#VALUE!</v>
      </c>
      <c r="G149" s="60" t="e">
        <f>SUMIFS([49]mensuel_section_article1!$G$3:$G$962,[49]mensuel_section_article1!$B$3:$B$962,C149,[49]mensuel_section_article1!$C$3:$C$962,D149)</f>
        <v>#VALUE!</v>
      </c>
      <c r="H149" s="60">
        <v>0</v>
      </c>
      <c r="I149" s="60">
        <v>0</v>
      </c>
      <c r="J149" s="60">
        <v>0</v>
      </c>
      <c r="K149" s="60">
        <f t="shared" si="78"/>
        <v>0</v>
      </c>
      <c r="L149" s="61" t="e">
        <f>IF(F149&lt;&gt;0,K149/F149,0)</f>
        <v>#VALUE!</v>
      </c>
      <c r="M149" s="60" t="e">
        <f>+SUMIFS([51]section_article!$H$10:$H$936,[51]section_article!$C$10:$C$936,C149,[51]section_article!$D$10:$D$936,D149)</f>
        <v>#VALUE!</v>
      </c>
      <c r="N149" s="24" t="e">
        <f t="shared" si="80"/>
        <v>#VALUE!</v>
      </c>
      <c r="O149" s="9"/>
      <c r="Q149" s="63"/>
      <c r="AK149" s="64"/>
      <c r="AL149" s="64"/>
      <c r="AM149" s="64"/>
      <c r="AN149" s="64"/>
      <c r="AO149" s="11">
        <v>1113113</v>
      </c>
      <c r="AP149" s="65" t="str">
        <f t="shared" si="79"/>
        <v>11131139</v>
      </c>
    </row>
    <row r="150" spans="1:42" s="1" customFormat="1" ht="27.75" customHeight="1" thickTop="1" thickBot="1" x14ac:dyDescent="0.3">
      <c r="A150" s="50" t="s">
        <v>20</v>
      </c>
      <c r="B150" s="50" t="s">
        <v>20</v>
      </c>
      <c r="C150" s="50" t="s">
        <v>20</v>
      </c>
      <c r="D150" s="51">
        <v>1113114</v>
      </c>
      <c r="E150" s="67" t="s">
        <v>40</v>
      </c>
      <c r="F150" s="68" t="e">
        <f>SUMIF($B$151:$B$157,"article",F151:F157)</f>
        <v>#VALUE!</v>
      </c>
      <c r="G150" s="68" t="e">
        <f>SUMIF($B$151:$B$157,"article",G151:G157)</f>
        <v>#VALUE!</v>
      </c>
      <c r="H150" s="68">
        <f>SUMIF($B$151:$B$157,"article",H151:H157)</f>
        <v>77999999.700000003</v>
      </c>
      <c r="I150" s="68">
        <v>79023699.700000003</v>
      </c>
      <c r="J150" s="68">
        <f>SUMIF($B$151:$B$157,"article",J151:J157)</f>
        <v>73495240.959999993</v>
      </c>
      <c r="K150" s="68">
        <f>SUMIF($B$151:$B$157,"article",K151:K157)</f>
        <v>4504758.7400000021</v>
      </c>
      <c r="L150" s="69">
        <f>+J150/H150</f>
        <v>0.94224668259838451</v>
      </c>
      <c r="M150" s="68"/>
      <c r="N150" s="68"/>
      <c r="O150" s="9"/>
      <c r="Q150" s="23"/>
      <c r="AK150" s="70"/>
      <c r="AL150" s="70"/>
      <c r="AM150" s="70"/>
      <c r="AN150" s="70"/>
      <c r="AO150" s="11">
        <v>1113114</v>
      </c>
    </row>
    <row r="151" spans="1:42" s="62" customFormat="1" ht="27.75" customHeight="1" thickTop="1" thickBot="1" x14ac:dyDescent="0.3">
      <c r="A151" s="56" t="s">
        <v>22</v>
      </c>
      <c r="B151" s="56" t="s">
        <v>22</v>
      </c>
      <c r="C151" s="57">
        <f t="shared" ref="C151:C157" si="81">IF(A150="SECTION",D150,C150)</f>
        <v>1113114</v>
      </c>
      <c r="D151" s="58">
        <v>1</v>
      </c>
      <c r="E151" s="59" t="str">
        <f t="shared" ref="E151:E157" si="82">IF(D151=1, "DEPENSES DE PERSONNEL",  +IF(D151=2,"DEPENSES DE SERVICES ET CHARGES DIVERSES", +IF(D151=3,"ACHATS DE BIENS DE CONSOMMATION ET PETITS MATERIELS",+IF(D151=4,"IMMOBILISATION CORPORELLE",+IF(D151=5,"IMMOBILISATION INCORPORELLE",+IF(D151=7,"SUBVENTIONS,QUOTES-PARTS ET CONTRIB.,ALLOC, INDEMNISATIONS",+IF(D151=8,"AMORTISSEMENT DE LA DETTE",+IF(D151=9,"AUTRES DEPENSES PUBLIQUES",0))))))))</f>
        <v>DEPENSES DE PERSONNEL</v>
      </c>
      <c r="F151" s="60" t="e">
        <f>SUMIFS([49]mensuel_section_article1!$E$3:$E$962,[49]mensuel_section_article1!$B$3:$B$962,C151,[49]mensuel_section_article1!$C$3:$C$962,D151)</f>
        <v>#VALUE!</v>
      </c>
      <c r="G151" s="60" t="e">
        <f>SUMIFS([49]mensuel_section_article1!$G$3:$G$962,[49]mensuel_section_article1!$B$3:$B$962,C151,[49]mensuel_section_article1!$C$3:$C$962,D151)</f>
        <v>#VALUE!</v>
      </c>
      <c r="H151" s="60">
        <v>54450445</v>
      </c>
      <c r="I151" s="60">
        <v>55474145</v>
      </c>
      <c r="J151" s="60">
        <v>52162913.329999998</v>
      </c>
      <c r="K151" s="60">
        <f t="shared" ref="K151:K157" si="83">+H151-J151</f>
        <v>2287531.6700000018</v>
      </c>
      <c r="L151" s="61">
        <f>+J151/H151</f>
        <v>0.95798874242441912</v>
      </c>
      <c r="M151" s="60"/>
      <c r="N151" s="24"/>
      <c r="O151" s="9"/>
      <c r="Q151" s="63"/>
      <c r="AK151" s="64"/>
      <c r="AL151" s="64"/>
      <c r="AM151" s="64"/>
      <c r="AN151" s="64"/>
      <c r="AO151" s="11">
        <v>1113114</v>
      </c>
      <c r="AP151" s="65" t="str">
        <f t="shared" ref="AP151:AP157" si="84">CONCATENATE(AO151,D151)</f>
        <v>11131141</v>
      </c>
    </row>
    <row r="152" spans="1:42" s="62" customFormat="1" ht="27.75" customHeight="1" thickTop="1" thickBot="1" x14ac:dyDescent="0.3">
      <c r="A152" s="56" t="s">
        <v>22</v>
      </c>
      <c r="B152" s="56" t="s">
        <v>22</v>
      </c>
      <c r="C152" s="57">
        <f t="shared" si="81"/>
        <v>1113114</v>
      </c>
      <c r="D152" s="58">
        <v>2</v>
      </c>
      <c r="E152" s="59" t="str">
        <f t="shared" si="82"/>
        <v>DEPENSES DE SERVICES ET CHARGES DIVERSES</v>
      </c>
      <c r="F152" s="60" t="e">
        <f>SUMIFS([49]mensuel_section_article1!$E$3:$E$962,[49]mensuel_section_article1!$B$3:$B$962,C152,[49]mensuel_section_article1!$C$3:$C$962,D152)</f>
        <v>#VALUE!</v>
      </c>
      <c r="G152" s="60" t="e">
        <f>SUMIFS([49]mensuel_section_article1!$G$3:$G$962,[49]mensuel_section_article1!$B$3:$B$962,C152,[49]mensuel_section_article1!$C$3:$C$962,D152)</f>
        <v>#VALUE!</v>
      </c>
      <c r="H152" s="60">
        <v>23549554.699999999</v>
      </c>
      <c r="I152" s="60">
        <v>23549554.699999999</v>
      </c>
      <c r="J152" s="60">
        <v>21332327.629999999</v>
      </c>
      <c r="K152" s="60">
        <f t="shared" si="83"/>
        <v>2217227.0700000003</v>
      </c>
      <c r="L152" s="61">
        <f>+J152/H152</f>
        <v>0.90584845028938066</v>
      </c>
      <c r="M152" s="60"/>
      <c r="N152" s="24"/>
      <c r="O152" s="9"/>
      <c r="Q152" s="63"/>
      <c r="AK152" s="64"/>
      <c r="AL152" s="64"/>
      <c r="AM152" s="64"/>
      <c r="AN152" s="64"/>
      <c r="AO152" s="11">
        <v>1113114</v>
      </c>
      <c r="AP152" s="65" t="str">
        <f t="shared" si="84"/>
        <v>11131142</v>
      </c>
    </row>
    <row r="153" spans="1:42" s="62" customFormat="1" ht="27.75" hidden="1" customHeight="1" thickTop="1" thickBot="1" x14ac:dyDescent="0.3">
      <c r="A153" s="56" t="s">
        <v>22</v>
      </c>
      <c r="B153" s="56" t="s">
        <v>22</v>
      </c>
      <c r="C153" s="57">
        <f t="shared" si="81"/>
        <v>1113114</v>
      </c>
      <c r="D153" s="58">
        <v>3</v>
      </c>
      <c r="E153" s="59" t="str">
        <f t="shared" si="82"/>
        <v>ACHATS DE BIENS DE CONSOMMATION ET PETITS MATERIELS</v>
      </c>
      <c r="F153" s="60" t="e">
        <f>SUMIFS([49]mensuel_section_article1!$E$3:$E$962,[49]mensuel_section_article1!$B$3:$B$962,C153,[49]mensuel_section_article1!$C$3:$C$962,D153)</f>
        <v>#VALUE!</v>
      </c>
      <c r="G153" s="60" t="e">
        <f>SUMIFS([49]mensuel_section_article1!$G$3:$G$962,[49]mensuel_section_article1!$B$3:$B$962,C153,[49]mensuel_section_article1!$C$3:$C$962,D153)</f>
        <v>#VALUE!</v>
      </c>
      <c r="H153" s="60">
        <v>0</v>
      </c>
      <c r="I153" s="60">
        <v>0</v>
      </c>
      <c r="J153" s="60">
        <v>0</v>
      </c>
      <c r="K153" s="60">
        <f t="shared" si="83"/>
        <v>0</v>
      </c>
      <c r="L153" s="61" t="e">
        <f>IF(F153&lt;&gt;0,K153/F153,0)</f>
        <v>#VALUE!</v>
      </c>
      <c r="M153" s="60" t="e">
        <f>+SUMIFS([51]section_article!$H$10:$H$936,[51]section_article!$C$10:$C$936,C153,[51]section_article!$D$10:$D$936,D153)</f>
        <v>#VALUE!</v>
      </c>
      <c r="N153" s="24" t="e">
        <f t="shared" ref="N151:N157" si="85">+J153-M153</f>
        <v>#VALUE!</v>
      </c>
      <c r="O153" s="9"/>
      <c r="Q153" s="63"/>
      <c r="AK153" s="64"/>
      <c r="AL153" s="64"/>
      <c r="AM153" s="64"/>
      <c r="AN153" s="64"/>
      <c r="AO153" s="11">
        <v>1113114</v>
      </c>
      <c r="AP153" s="65" t="str">
        <f t="shared" si="84"/>
        <v>11131143</v>
      </c>
    </row>
    <row r="154" spans="1:42" s="62" customFormat="1" ht="27.75" hidden="1" customHeight="1" thickTop="1" thickBot="1" x14ac:dyDescent="0.3">
      <c r="A154" s="56" t="s">
        <v>22</v>
      </c>
      <c r="B154" s="56" t="s">
        <v>22</v>
      </c>
      <c r="C154" s="57">
        <f t="shared" si="81"/>
        <v>1113114</v>
      </c>
      <c r="D154" s="58">
        <v>4</v>
      </c>
      <c r="E154" s="59" t="str">
        <f t="shared" si="82"/>
        <v>IMMOBILISATION CORPORELLE</v>
      </c>
      <c r="F154" s="60" t="e">
        <f>SUMIFS([49]mensuel_section_article1!$E$3:$E$962,[49]mensuel_section_article1!$B$3:$B$962,C154,[49]mensuel_section_article1!$C$3:$C$962,D154)</f>
        <v>#VALUE!</v>
      </c>
      <c r="G154" s="60" t="e">
        <f>SUMIFS([49]mensuel_section_article1!$G$3:$G$962,[49]mensuel_section_article1!$B$3:$B$962,C154,[49]mensuel_section_article1!$C$3:$C$962,D154)</f>
        <v>#VALUE!</v>
      </c>
      <c r="H154" s="60">
        <v>0</v>
      </c>
      <c r="I154" s="60">
        <v>0</v>
      </c>
      <c r="J154" s="60">
        <v>0</v>
      </c>
      <c r="K154" s="60">
        <f t="shared" si="83"/>
        <v>0</v>
      </c>
      <c r="L154" s="61" t="e">
        <f>IF(F154&lt;&gt;0,K154/F154,0)</f>
        <v>#VALUE!</v>
      </c>
      <c r="M154" s="60" t="e">
        <f>+SUMIFS([51]section_article!$H$10:$H$936,[51]section_article!$C$10:$C$936,C154,[51]section_article!$D$10:$D$936,D154)</f>
        <v>#VALUE!</v>
      </c>
      <c r="N154" s="24" t="e">
        <f t="shared" si="85"/>
        <v>#VALUE!</v>
      </c>
      <c r="O154" s="9"/>
      <c r="Q154" s="63"/>
      <c r="AK154" s="64"/>
      <c r="AL154" s="64"/>
      <c r="AM154" s="64"/>
      <c r="AN154" s="64"/>
      <c r="AO154" s="11">
        <v>1113114</v>
      </c>
      <c r="AP154" s="65" t="str">
        <f t="shared" si="84"/>
        <v>11131144</v>
      </c>
    </row>
    <row r="155" spans="1:42" s="62" customFormat="1" ht="27.75" hidden="1" customHeight="1" thickTop="1" thickBot="1" x14ac:dyDescent="0.3">
      <c r="A155" s="56" t="s">
        <v>22</v>
      </c>
      <c r="B155" s="56" t="s">
        <v>22</v>
      </c>
      <c r="C155" s="57">
        <f t="shared" si="81"/>
        <v>1113114</v>
      </c>
      <c r="D155" s="58">
        <v>5</v>
      </c>
      <c r="E155" s="59" t="str">
        <f t="shared" si="82"/>
        <v>IMMOBILISATION INCORPORELLE</v>
      </c>
      <c r="F155" s="60" t="e">
        <f>SUMIFS([49]mensuel_section_article1!$E$3:$E$962,[49]mensuel_section_article1!$B$3:$B$962,C155,[49]mensuel_section_article1!$C$3:$C$962,D155)</f>
        <v>#VALUE!</v>
      </c>
      <c r="G155" s="60" t="e">
        <f>SUMIFS([49]mensuel_section_article1!$G$3:$G$962,[49]mensuel_section_article1!$B$3:$B$962,C155,[49]mensuel_section_article1!$C$3:$C$962,D155)</f>
        <v>#VALUE!</v>
      </c>
      <c r="H155" s="60">
        <v>0</v>
      </c>
      <c r="I155" s="60">
        <v>0</v>
      </c>
      <c r="J155" s="60">
        <v>0</v>
      </c>
      <c r="K155" s="60">
        <f t="shared" si="83"/>
        <v>0</v>
      </c>
      <c r="L155" s="61" t="e">
        <f>IF(F155&lt;&gt;0,K155/F155,0)</f>
        <v>#VALUE!</v>
      </c>
      <c r="M155" s="60" t="e">
        <f>+SUMIFS([51]section_article!$H$10:$H$936,[51]section_article!$C$10:$C$936,C155,[51]section_article!$D$10:$D$936,D155)</f>
        <v>#VALUE!</v>
      </c>
      <c r="N155" s="24" t="e">
        <f t="shared" si="85"/>
        <v>#VALUE!</v>
      </c>
      <c r="O155" s="9"/>
      <c r="Q155" s="63"/>
      <c r="AK155" s="64"/>
      <c r="AL155" s="64"/>
      <c r="AM155" s="64"/>
      <c r="AN155" s="64"/>
      <c r="AO155" s="11">
        <v>1113114</v>
      </c>
      <c r="AP155" s="65" t="str">
        <f t="shared" si="84"/>
        <v>11131145</v>
      </c>
    </row>
    <row r="156" spans="1:42" s="62" customFormat="1" ht="27.75" hidden="1" customHeight="1" thickTop="1" thickBot="1" x14ac:dyDescent="0.3">
      <c r="A156" s="56" t="s">
        <v>22</v>
      </c>
      <c r="B156" s="56" t="s">
        <v>22</v>
      </c>
      <c r="C156" s="57">
        <f t="shared" si="81"/>
        <v>1113114</v>
      </c>
      <c r="D156" s="58">
        <v>7</v>
      </c>
      <c r="E156" s="59" t="str">
        <f t="shared" si="82"/>
        <v>SUBVENTIONS,QUOTES-PARTS ET CONTRIB.,ALLOC, INDEMNISATIONS</v>
      </c>
      <c r="F156" s="60" t="e">
        <f>SUMIFS([49]mensuel_section_article1!$E$3:$E$962,[49]mensuel_section_article1!$B$3:$B$962,C156,[49]mensuel_section_article1!$C$3:$C$962,D156)</f>
        <v>#VALUE!</v>
      </c>
      <c r="G156" s="60" t="e">
        <f>SUMIFS([49]mensuel_section_article1!$G$3:$G$962,[49]mensuel_section_article1!$B$3:$B$962,C156,[49]mensuel_section_article1!$C$3:$C$962,D156)</f>
        <v>#VALUE!</v>
      </c>
      <c r="H156" s="60">
        <v>0</v>
      </c>
      <c r="I156" s="60">
        <v>0</v>
      </c>
      <c r="J156" s="60">
        <v>0</v>
      </c>
      <c r="K156" s="60">
        <f t="shared" si="83"/>
        <v>0</v>
      </c>
      <c r="L156" s="61" t="e">
        <f>IF(F156&lt;&gt;0,K156/F156,0)</f>
        <v>#VALUE!</v>
      </c>
      <c r="M156" s="60" t="e">
        <f>+SUMIFS([51]section_article!$H$10:$H$936,[51]section_article!$C$10:$C$936,C156,[51]section_article!$D$10:$D$936,D156)</f>
        <v>#VALUE!</v>
      </c>
      <c r="N156" s="24" t="e">
        <f t="shared" si="85"/>
        <v>#VALUE!</v>
      </c>
      <c r="O156" s="9"/>
      <c r="Q156" s="63"/>
      <c r="AK156" s="64"/>
      <c r="AL156" s="64"/>
      <c r="AM156" s="64"/>
      <c r="AN156" s="64"/>
      <c r="AO156" s="11">
        <v>1113114</v>
      </c>
      <c r="AP156" s="65" t="str">
        <f t="shared" si="84"/>
        <v>11131147</v>
      </c>
    </row>
    <row r="157" spans="1:42" s="62" customFormat="1" ht="27.75" hidden="1" customHeight="1" thickTop="1" thickBot="1" x14ac:dyDescent="0.3">
      <c r="A157" s="56" t="s">
        <v>22</v>
      </c>
      <c r="B157" s="56" t="s">
        <v>22</v>
      </c>
      <c r="C157" s="57">
        <f t="shared" si="81"/>
        <v>1113114</v>
      </c>
      <c r="D157" s="58">
        <v>9</v>
      </c>
      <c r="E157" s="59" t="str">
        <f t="shared" si="82"/>
        <v>AUTRES DEPENSES PUBLIQUES</v>
      </c>
      <c r="F157" s="60" t="e">
        <f>SUMIFS([49]mensuel_section_article1!$E$3:$E$962,[49]mensuel_section_article1!$B$3:$B$962,C157,[49]mensuel_section_article1!$C$3:$C$962,D157)</f>
        <v>#VALUE!</v>
      </c>
      <c r="G157" s="60" t="e">
        <f>SUMIFS([49]mensuel_section_article1!$G$3:$G$962,[49]mensuel_section_article1!$B$3:$B$962,C157,[49]mensuel_section_article1!$C$3:$C$962,D157)</f>
        <v>#VALUE!</v>
      </c>
      <c r="H157" s="60">
        <v>0</v>
      </c>
      <c r="I157" s="60">
        <v>0</v>
      </c>
      <c r="J157" s="60">
        <v>0</v>
      </c>
      <c r="K157" s="60">
        <f t="shared" si="83"/>
        <v>0</v>
      </c>
      <c r="L157" s="61" t="e">
        <f>IF(F157&lt;&gt;0,K157/F157,0)</f>
        <v>#VALUE!</v>
      </c>
      <c r="M157" s="60" t="e">
        <f>+SUMIFS([51]section_article!$H$10:$H$936,[51]section_article!$C$10:$C$936,C157,[51]section_article!$D$10:$D$936,D157)</f>
        <v>#VALUE!</v>
      </c>
      <c r="N157" s="24" t="e">
        <f t="shared" si="85"/>
        <v>#VALUE!</v>
      </c>
      <c r="O157" s="9"/>
      <c r="Q157" s="63"/>
      <c r="AK157" s="64"/>
      <c r="AL157" s="64"/>
      <c r="AM157" s="64"/>
      <c r="AN157" s="64"/>
      <c r="AO157" s="11">
        <v>1113114</v>
      </c>
      <c r="AP157" s="65" t="str">
        <f t="shared" si="84"/>
        <v>11131149</v>
      </c>
    </row>
    <row r="158" spans="1:42" s="1" customFormat="1" ht="27.75" customHeight="1" thickTop="1" thickBot="1" x14ac:dyDescent="0.3">
      <c r="A158" s="50" t="s">
        <v>20</v>
      </c>
      <c r="B158" s="50" t="s">
        <v>20</v>
      </c>
      <c r="C158" s="50" t="s">
        <v>20</v>
      </c>
      <c r="D158" s="51">
        <v>1113116</v>
      </c>
      <c r="E158" s="83" t="s">
        <v>41</v>
      </c>
      <c r="F158" s="68" t="e">
        <f>SUMIF($B$159:$B$161,"article",F159:F161)</f>
        <v>#VALUE!</v>
      </c>
      <c r="G158" s="68" t="e">
        <f>SUMIF($B$159:$B$161,"article",G159:G161)</f>
        <v>#VALUE!</v>
      </c>
      <c r="H158" s="68">
        <f>SUMIF($B$159:$B$161,"article",H159:H161)</f>
        <v>12018583.879999999</v>
      </c>
      <c r="I158" s="68">
        <v>12018583.9</v>
      </c>
      <c r="J158" s="68">
        <f>SUMIF($B$159:$B$161,"article",J159:J161)</f>
        <v>28133.33</v>
      </c>
      <c r="K158" s="68">
        <f>SUMIF($B$159:$B$161,"article",K159:K161)</f>
        <v>11990450.549999999</v>
      </c>
      <c r="L158" s="69">
        <f>+J158/H158</f>
        <v>2.3408190416523518E-3</v>
      </c>
      <c r="M158" s="68"/>
      <c r="N158" s="68"/>
      <c r="O158" s="9"/>
      <c r="Q158" s="23"/>
      <c r="AK158" s="70"/>
      <c r="AL158" s="70"/>
      <c r="AM158" s="70"/>
      <c r="AN158" s="70"/>
      <c r="AO158" s="11">
        <v>1113116</v>
      </c>
    </row>
    <row r="159" spans="1:42" s="62" customFormat="1" ht="27.75" customHeight="1" thickTop="1" thickBot="1" x14ac:dyDescent="0.3">
      <c r="A159" s="56" t="s">
        <v>22</v>
      </c>
      <c r="B159" s="56" t="s">
        <v>22</v>
      </c>
      <c r="C159" s="57">
        <f>IF(A158="SECTION",D158,C158)</f>
        <v>1113116</v>
      </c>
      <c r="D159" s="58">
        <v>1</v>
      </c>
      <c r="E159" s="59" t="str">
        <f>IF(D159=1, "DEPENSES DE PERSONNEL",  +IF(D159=2,"DEPENSES DE SERVICES ET CHARGES DIVERSES", +IF(D159=3,"ACHATS DE BIENS DE CONSOMMATION ET PETITS MATERIELS",+IF(D159=4,"IMMOBILISATION CORPORELLE",+IF(D159=5,"IMMOBILISATION INCORPORELLE",+IF(D159=7,"SUBVENTIONS,QUOTES-PARTS ET CONTRIB.,ALLOC, INDEMNISATIONS",+IF(D159=8,"AMORTISSEMENT DE LA DETTE",+IF(D159=9,"AUTRES DEPENSES PUBLIQUES",0))))))))</f>
        <v>DEPENSES DE PERSONNEL</v>
      </c>
      <c r="F159" s="60" t="e">
        <f>SUMIFS([49]mensuel_section_article1!$E$3:$E$962,[49]mensuel_section_article1!$B$3:$B$962,C159,[49]mensuel_section_article1!$C$3:$C$962,D159)</f>
        <v>#VALUE!</v>
      </c>
      <c r="G159" s="60" t="e">
        <f>SUMIFS([49]mensuel_section_article1!$G$3:$G$962,[49]mensuel_section_article1!$B$3:$B$962,C159,[49]mensuel_section_article1!$C$3:$C$962,D159)</f>
        <v>#VALUE!</v>
      </c>
      <c r="H159" s="60">
        <v>8128879.919999999</v>
      </c>
      <c r="I159" s="60">
        <v>8128879.9000000004</v>
      </c>
      <c r="J159" s="60">
        <v>28133.33</v>
      </c>
      <c r="K159" s="60">
        <f t="shared" ref="K159:K161" si="86">+H159-J159</f>
        <v>8100746.5899999989</v>
      </c>
      <c r="L159" s="61">
        <f>+J159/H159</f>
        <v>3.4609110082659462E-3</v>
      </c>
      <c r="M159" s="60"/>
      <c r="N159" s="24"/>
      <c r="O159" s="9"/>
      <c r="Q159" s="63"/>
      <c r="AK159" s="64"/>
      <c r="AL159" s="64"/>
      <c r="AM159" s="64"/>
      <c r="AN159" s="64"/>
      <c r="AO159" s="11">
        <v>1113116</v>
      </c>
      <c r="AP159" s="65" t="str">
        <f>CONCATENATE(AO159,D159)</f>
        <v>11131161</v>
      </c>
    </row>
    <row r="160" spans="1:42" s="62" customFormat="1" ht="27.75" customHeight="1" thickTop="1" thickBot="1" x14ac:dyDescent="0.3">
      <c r="A160" s="56" t="s">
        <v>22</v>
      </c>
      <c r="B160" s="56" t="s">
        <v>22</v>
      </c>
      <c r="C160" s="57">
        <f>IF(A158="SECTION",D158,C158)</f>
        <v>1113116</v>
      </c>
      <c r="D160" s="58">
        <v>2</v>
      </c>
      <c r="E160" s="59" t="str">
        <f>IF(D160=1, "DEPENSES DE PERSONNEL",  +IF(D160=2,"DEPENSES DE SERVICES ET CHARGES DIVERSES", +IF(D160=3,"ACHATS DE BIENS DE CONSOMMATION ET PETITS MATERIELS",+IF(D160=4,"IMMOBILISATION CORPORELLE",+IF(D160=5,"IMMOBILISATION INCORPORELLE",+IF(D160=7,"SUBVENTIONS,QUOTES-PARTS ET CONTRIB.,ALLOC, INDEMNISATIONS",+IF(D160=8,"AMORTISSEMENT DE LA DETTE",+IF(D160=9,"AUTRES DEPENSES PUBLIQUES",0))))))))</f>
        <v>DEPENSES DE SERVICES ET CHARGES DIVERSES</v>
      </c>
      <c r="F160" s="60" t="e">
        <f>SUMIFS([49]mensuel_section_article1!$E$3:$E$962,[49]mensuel_section_article1!$B$3:$B$962,C160,[49]mensuel_section_article1!$C$3:$C$962,D160)</f>
        <v>#VALUE!</v>
      </c>
      <c r="G160" s="60" t="e">
        <f>SUMIFS([49]mensuel_section_article1!$G$3:$G$962,[49]mensuel_section_article1!$B$3:$B$962,C160,[49]mensuel_section_article1!$C$3:$C$962,D160)</f>
        <v>#VALUE!</v>
      </c>
      <c r="H160" s="60">
        <v>3889703.96</v>
      </c>
      <c r="I160" s="60">
        <v>3889704</v>
      </c>
      <c r="J160" s="60">
        <v>0</v>
      </c>
      <c r="K160" s="60">
        <f t="shared" si="86"/>
        <v>3889703.96</v>
      </c>
      <c r="L160" s="61">
        <f>+J160/H160</f>
        <v>0</v>
      </c>
      <c r="M160" s="60"/>
      <c r="N160" s="24"/>
      <c r="O160" s="9"/>
      <c r="Q160" s="63"/>
      <c r="AK160" s="64"/>
      <c r="AL160" s="64"/>
      <c r="AM160" s="64"/>
      <c r="AN160" s="64"/>
      <c r="AO160" s="11">
        <v>1113116</v>
      </c>
      <c r="AP160" s="65" t="str">
        <f>CONCATENATE(AO160,D160)</f>
        <v>11131162</v>
      </c>
    </row>
    <row r="161" spans="1:42" s="62" customFormat="1" ht="27.75" hidden="1" customHeight="1" thickTop="1" thickBot="1" x14ac:dyDescent="0.3">
      <c r="A161" s="56" t="s">
        <v>22</v>
      </c>
      <c r="B161" s="56" t="s">
        <v>22</v>
      </c>
      <c r="C161" s="57">
        <f>IF(A159="SECTION",D159,C159)</f>
        <v>1113116</v>
      </c>
      <c r="D161" s="58">
        <v>7</v>
      </c>
      <c r="E161" s="59" t="str">
        <f>IF(D161=1, "DEPENSES DE PERSONNEL",  +IF(D161=2,"DEPENSES DE SERVICES ET CHARGES DIVERSES", +IF(D161=3,"ACHATS DE BIENS DE CONSOMMATION ET PETITS MATERIELS",+IF(D161=4,"IMMOBILISATION CORPORELLE",+IF(D161=5,"IMMOBILISATION INCORPORELLE",+IF(D161=7,"SUBVENTIONS,QUOTES-PARTS ET CONTRIB.,ALLOC, INDEMNISATIONS",+IF(D161=8,"AMORTISSEMENT DE LA DETTE",+IF(D161=9,"AUTRES DEPENSES PUBLIQUES",0))))))))</f>
        <v>SUBVENTIONS,QUOTES-PARTS ET CONTRIB.,ALLOC, INDEMNISATIONS</v>
      </c>
      <c r="F161" s="60" t="e">
        <f>SUMIFS([49]mensuel_section_article1!$E$3:$E$962,[49]mensuel_section_article1!$B$3:$B$962,C161,[49]mensuel_section_article1!$C$3:$C$962,D161)</f>
        <v>#VALUE!</v>
      </c>
      <c r="G161" s="60" t="e">
        <f>SUMIFS([49]mensuel_section_article1!$G$3:$G$962,[49]mensuel_section_article1!$B$3:$B$962,C161,[49]mensuel_section_article1!$C$3:$C$962,D161)</f>
        <v>#VALUE!</v>
      </c>
      <c r="H161" s="60">
        <v>0</v>
      </c>
      <c r="I161" s="60">
        <v>0</v>
      </c>
      <c r="J161" s="60">
        <v>0</v>
      </c>
      <c r="K161" s="60">
        <f t="shared" si="86"/>
        <v>0</v>
      </c>
      <c r="L161" s="61" t="e">
        <f>IF(F161&lt;&gt;0,K161/F161,0)</f>
        <v>#VALUE!</v>
      </c>
      <c r="M161" s="60" t="e">
        <f>+SUMIFS([51]section_article!$H$10:$H$936,[51]section_article!$C$10:$C$936,C161,[51]section_article!$D$10:$D$936,D161)</f>
        <v>#VALUE!</v>
      </c>
      <c r="N161" s="24" t="e">
        <f>+J161-M161</f>
        <v>#VALUE!</v>
      </c>
      <c r="O161" s="9"/>
      <c r="Q161" s="63"/>
      <c r="AK161" s="64"/>
      <c r="AL161" s="64"/>
      <c r="AM161" s="64"/>
      <c r="AN161" s="64"/>
      <c r="AO161" s="11">
        <v>1113116</v>
      </c>
      <c r="AP161" s="65" t="str">
        <f>CONCATENATE(AO161,D161)</f>
        <v>11131167</v>
      </c>
    </row>
    <row r="162" spans="1:42" s="1" customFormat="1" ht="27.75" customHeight="1" thickTop="1" thickBot="1" x14ac:dyDescent="0.3">
      <c r="A162" s="50" t="s">
        <v>20</v>
      </c>
      <c r="B162" s="50" t="s">
        <v>20</v>
      </c>
      <c r="C162" s="50" t="s">
        <v>20</v>
      </c>
      <c r="D162" s="51">
        <v>1113117</v>
      </c>
      <c r="E162" s="83" t="s">
        <v>42</v>
      </c>
      <c r="F162" s="68" t="e">
        <f>SUMIF($B$163:$B$165,"article",F163:F165)</f>
        <v>#VALUE!</v>
      </c>
      <c r="G162" s="68" t="e">
        <f>SUMIF($B$163:$B$165,"article",G163:G165)</f>
        <v>#VALUE!</v>
      </c>
      <c r="H162" s="68">
        <f>SUMIF($B$163:$B$165,"article",H163:H165)</f>
        <v>16822146</v>
      </c>
      <c r="I162" s="68">
        <v>20235951</v>
      </c>
      <c r="J162" s="68">
        <f>SUMIF($B$163:$B$165,"article",J163:J165)</f>
        <v>17510039.899999999</v>
      </c>
      <c r="K162" s="68">
        <f>SUMIF($B$163:$B$165,"article",K163:K165)</f>
        <v>-687893.90000000037</v>
      </c>
      <c r="L162" s="69">
        <f>+J162/H162</f>
        <v>1.0408921608455901</v>
      </c>
      <c r="M162" s="68"/>
      <c r="N162" s="68"/>
      <c r="O162" s="9"/>
      <c r="Q162" s="23"/>
      <c r="AK162" s="70"/>
      <c r="AL162" s="70"/>
      <c r="AM162" s="70"/>
      <c r="AN162" s="70"/>
      <c r="AO162" s="11">
        <v>1113117</v>
      </c>
    </row>
    <row r="163" spans="1:42" s="62" customFormat="1" ht="27.75" customHeight="1" thickTop="1" thickBot="1" x14ac:dyDescent="0.3">
      <c r="A163" s="56" t="s">
        <v>22</v>
      </c>
      <c r="B163" s="56" t="s">
        <v>22</v>
      </c>
      <c r="C163" s="57">
        <f>IF(A162="SECTION",D162,C162)</f>
        <v>1113117</v>
      </c>
      <c r="D163" s="58">
        <v>1</v>
      </c>
      <c r="E163" s="59" t="str">
        <f>IF(D163=1, "DEPENSES DE PERSONNEL",  +IF(D163=2,"DEPENSES DE SERVICES ET CHARGES DIVERSES", +IF(D163=3,"ACHATS DE BIENS DE CONSOMMATION ET PETITS MATERIELS",+IF(D163=4,"IMMOBILISATION CORPORELLE",+IF(D163=5,"IMMOBILISATION INCORPORELLE",+IF(D163=7,"SUBVENTIONS,QUOTES-PARTS ET CONTRIB.,ALLOC, INDEMNISATIONS",+IF(D163=8,"AMORTISSEMENT DE LA DETTE",+IF(D163=9,"AUTRES DEPENSES PUBLIQUES",0))))))))</f>
        <v>DEPENSES DE PERSONNEL</v>
      </c>
      <c r="F163" s="60" t="e">
        <f>SUMIFS([49]mensuel_section_article1!$E$3:$E$962,[49]mensuel_section_article1!$B$3:$B$962,C163,[49]mensuel_section_article1!$C$3:$C$962,D163)</f>
        <v>#VALUE!</v>
      </c>
      <c r="G163" s="60" t="e">
        <f>SUMIFS([49]mensuel_section_article1!$G$3:$G$962,[49]mensuel_section_article1!$B$3:$B$962,C163,[49]mensuel_section_article1!$C$3:$C$962,D163)</f>
        <v>#VALUE!</v>
      </c>
      <c r="H163" s="60">
        <v>8693898</v>
      </c>
      <c r="I163" s="60">
        <v>12107703</v>
      </c>
      <c r="J163" s="60">
        <v>9635335</v>
      </c>
      <c r="K163" s="60">
        <f t="shared" ref="K163:K165" si="87">+H163-J163</f>
        <v>-941437</v>
      </c>
      <c r="L163" s="61">
        <f>+J163/H163</f>
        <v>1.1082870997566339</v>
      </c>
      <c r="M163" s="60"/>
      <c r="N163" s="24"/>
      <c r="O163" s="9"/>
      <c r="Q163" s="63"/>
      <c r="AK163" s="64"/>
      <c r="AL163" s="64"/>
      <c r="AM163" s="64"/>
      <c r="AN163" s="64"/>
      <c r="AO163" s="11">
        <v>1113117</v>
      </c>
      <c r="AP163" s="65" t="str">
        <f>CONCATENATE(AO163,D163)</f>
        <v>11131171</v>
      </c>
    </row>
    <row r="164" spans="1:42" s="62" customFormat="1" ht="27.75" customHeight="1" thickTop="1" thickBot="1" x14ac:dyDescent="0.3">
      <c r="A164" s="56" t="s">
        <v>22</v>
      </c>
      <c r="B164" s="56" t="s">
        <v>22</v>
      </c>
      <c r="C164" s="57">
        <f>IF(A162="SECTION",D162,C162)</f>
        <v>1113117</v>
      </c>
      <c r="D164" s="58">
        <v>2</v>
      </c>
      <c r="E164" s="59" t="str">
        <f>IF(D164=1, "DEPENSES DE PERSONNEL",  +IF(D164=2,"DEPENSES DE SERVICES ET CHARGES DIVERSES", +IF(D164=3,"ACHATS DE BIENS DE CONSOMMATION ET PETITS MATERIELS",+IF(D164=4,"IMMOBILISATION CORPORELLE",+IF(D164=5,"IMMOBILISATION INCORPORELLE",+IF(D164=7,"SUBVENTIONS,QUOTES-PARTS ET CONTRIB.,ALLOC, INDEMNISATIONS",+IF(D164=8,"AMORTISSEMENT DE LA DETTE",+IF(D164=9,"AUTRES DEPENSES PUBLIQUES",0))))))))</f>
        <v>DEPENSES DE SERVICES ET CHARGES DIVERSES</v>
      </c>
      <c r="F164" s="60" t="e">
        <f>SUMIFS([49]mensuel_section_article1!$E$3:$E$962,[49]mensuel_section_article1!$B$3:$B$962,C164,[49]mensuel_section_article1!$C$3:$C$962,D164)</f>
        <v>#VALUE!</v>
      </c>
      <c r="G164" s="60" t="e">
        <f>SUMIFS([49]mensuel_section_article1!$G$3:$G$962,[49]mensuel_section_article1!$B$3:$B$962,C164,[49]mensuel_section_article1!$C$3:$C$962,D164)</f>
        <v>#VALUE!</v>
      </c>
      <c r="H164" s="60">
        <v>8128248</v>
      </c>
      <c r="I164" s="60">
        <v>8128248</v>
      </c>
      <c r="J164" s="60">
        <v>7874704.9000000004</v>
      </c>
      <c r="K164" s="60">
        <f t="shared" si="87"/>
        <v>253543.09999999963</v>
      </c>
      <c r="L164" s="61">
        <f>+J164/H164</f>
        <v>0.96880716484044294</v>
      </c>
      <c r="M164" s="60"/>
      <c r="N164" s="24"/>
      <c r="O164" s="9"/>
      <c r="Q164" s="63"/>
      <c r="AK164" s="64"/>
      <c r="AL164" s="64"/>
      <c r="AM164" s="64"/>
      <c r="AN164" s="64"/>
      <c r="AO164" s="11">
        <v>1113117</v>
      </c>
      <c r="AP164" s="65" t="str">
        <f>CONCATENATE(AO164,D164)</f>
        <v>11131172</v>
      </c>
    </row>
    <row r="165" spans="1:42" s="62" customFormat="1" ht="27.75" hidden="1" customHeight="1" thickTop="1" thickBot="1" x14ac:dyDescent="0.3">
      <c r="A165" s="56" t="s">
        <v>22</v>
      </c>
      <c r="B165" s="56" t="s">
        <v>22</v>
      </c>
      <c r="C165" s="57">
        <f>IF(A163="SECTION",D163,C163)</f>
        <v>1113117</v>
      </c>
      <c r="D165" s="58">
        <v>7</v>
      </c>
      <c r="E165" s="59" t="str">
        <f>IF(D165=1, "DEPENSES DE PERSONNEL",  +IF(D165=2,"DEPENSES DE SERVICES ET CHARGES DIVERSES", +IF(D165=3,"ACHATS DE BIENS DE CONSOMMATION ET PETITS MATERIELS",+IF(D165=4,"IMMOBILISATION CORPORELLE",+IF(D165=5,"IMMOBILISATION INCORPORELLE",+IF(D165=7,"SUBVENTIONS,QUOTES-PARTS ET CONTRIB.,ALLOC, INDEMNISATIONS",+IF(D165=8,"AMORTISSEMENT DE LA DETTE",+IF(D165=9,"AUTRES DEPENSES PUBLIQUES",0))))))))</f>
        <v>SUBVENTIONS,QUOTES-PARTS ET CONTRIB.,ALLOC, INDEMNISATIONS</v>
      </c>
      <c r="F165" s="60" t="e">
        <f>SUMIFS([49]mensuel_section_article1!$E$3:$E$962,[49]mensuel_section_article1!$B$3:$B$962,C165,[49]mensuel_section_article1!$C$3:$C$962,D165)</f>
        <v>#VALUE!</v>
      </c>
      <c r="G165" s="60" t="e">
        <f>SUMIFS([49]mensuel_section_article1!$G$3:$G$962,[49]mensuel_section_article1!$B$3:$B$962,C165,[49]mensuel_section_article1!$C$3:$C$962,D165)</f>
        <v>#VALUE!</v>
      </c>
      <c r="H165" s="60">
        <v>0</v>
      </c>
      <c r="I165" s="60">
        <v>0</v>
      </c>
      <c r="J165" s="60">
        <v>0</v>
      </c>
      <c r="K165" s="60">
        <f t="shared" si="87"/>
        <v>0</v>
      </c>
      <c r="L165" s="61" t="e">
        <f>IF(F165&lt;&gt;0,K165/F165,0)</f>
        <v>#VALUE!</v>
      </c>
      <c r="M165" s="60" t="e">
        <f>+SUMIFS([51]section_article!$H$10:$H$936,[51]section_article!$C$10:$C$936,C165,[51]section_article!$D$10:$D$936,D165)</f>
        <v>#VALUE!</v>
      </c>
      <c r="N165" s="24" t="e">
        <f>+J165-M165</f>
        <v>#VALUE!</v>
      </c>
      <c r="O165" s="9"/>
      <c r="Q165" s="63"/>
      <c r="AK165" s="64"/>
      <c r="AL165" s="64"/>
      <c r="AM165" s="64"/>
      <c r="AN165" s="64"/>
      <c r="AO165" s="11">
        <v>1113117</v>
      </c>
      <c r="AP165" s="65" t="str">
        <f>CONCATENATE(AO165,D165)</f>
        <v>11131177</v>
      </c>
    </row>
    <row r="166" spans="1:42" s="1" customFormat="1" ht="27.75" customHeight="1" thickTop="1" x14ac:dyDescent="0.25">
      <c r="A166" s="50" t="s">
        <v>16</v>
      </c>
      <c r="B166" s="50" t="s">
        <v>16</v>
      </c>
      <c r="C166" s="50" t="s">
        <v>16</v>
      </c>
      <c r="D166" s="73">
        <v>1114</v>
      </c>
      <c r="E166" s="74" t="s">
        <v>43</v>
      </c>
      <c r="F166" s="75" t="e">
        <f>SUMIF($B$167:$B$239,"chap",F167:F239)</f>
        <v>#VALUE!</v>
      </c>
      <c r="G166" s="75" t="e">
        <f>SUMIF($B$167:$B$239,"chap",G167:G239)</f>
        <v>#VALUE!</v>
      </c>
      <c r="H166" s="75">
        <f>SUMIF($B$167:$B$239,"chap",H167:H239)</f>
        <v>1259683961.8190002</v>
      </c>
      <c r="I166" s="75">
        <v>1259683961.6999998</v>
      </c>
      <c r="J166" s="75">
        <f>SUMIF($B$167:$B$239,"chap",J167:J239)</f>
        <v>1085184720.9999998</v>
      </c>
      <c r="K166" s="75">
        <f>SUMIF($B$167:$B$239,"chap",K167:K239)</f>
        <v>174499240.81900007</v>
      </c>
      <c r="L166" s="76">
        <f t="shared" ref="L166:L172" si="88">+J166/H166</f>
        <v>0.86147379334176699</v>
      </c>
      <c r="M166" s="75"/>
      <c r="N166" s="75"/>
      <c r="O166" s="9"/>
      <c r="Q166" s="23"/>
      <c r="AK166" s="77"/>
      <c r="AL166" s="77"/>
      <c r="AM166" s="77"/>
      <c r="AN166" s="77"/>
      <c r="AO166" s="11"/>
    </row>
    <row r="167" spans="1:42" s="49" customFormat="1" ht="27.75" customHeight="1" x14ac:dyDescent="0.25">
      <c r="A167" s="43" t="s">
        <v>19</v>
      </c>
      <c r="B167" s="43" t="s">
        <v>19</v>
      </c>
      <c r="C167" s="43" t="s">
        <v>19</v>
      </c>
      <c r="D167" s="44">
        <v>11141</v>
      </c>
      <c r="E167" s="45" t="str">
        <f>VLOOKUP(D167,[49]INST!$A$1:$B$626,2,FALSE)</f>
        <v>SERVICES INTERNES</v>
      </c>
      <c r="F167" s="46" t="e">
        <f>SUMIF($B$168:$B$239,"section",F168:F239)</f>
        <v>#VALUE!</v>
      </c>
      <c r="G167" s="46" t="e">
        <f>SUMIF($B$168:$B$239,"section",G168:G239)</f>
        <v>#VALUE!</v>
      </c>
      <c r="H167" s="46">
        <f>SUMIF($B$168:$B$239,"section",H168:H239)</f>
        <v>1259683961.8190002</v>
      </c>
      <c r="I167" s="46">
        <v>1259683961.6999998</v>
      </c>
      <c r="J167" s="46">
        <f>SUMIF($B$168:$B$239,"section",J168:J239)</f>
        <v>1085184720.9999998</v>
      </c>
      <c r="K167" s="46">
        <f>SUMIF($B$168:$B$239,"section",K168:K239)</f>
        <v>174499240.81900007</v>
      </c>
      <c r="L167" s="47">
        <f t="shared" si="88"/>
        <v>0.86147379334176699</v>
      </c>
      <c r="M167" s="46"/>
      <c r="N167" s="46"/>
      <c r="O167" s="48"/>
      <c r="AO167" s="11"/>
    </row>
    <row r="168" spans="1:42" s="1" customFormat="1" ht="27.75" customHeight="1" thickBot="1" x14ac:dyDescent="0.3">
      <c r="A168" s="82" t="s">
        <v>20</v>
      </c>
      <c r="B168" s="82" t="s">
        <v>20</v>
      </c>
      <c r="C168" s="82" t="s">
        <v>20</v>
      </c>
      <c r="D168" s="51">
        <v>1114111</v>
      </c>
      <c r="E168" s="67" t="s">
        <v>21</v>
      </c>
      <c r="F168" s="68" t="e">
        <f>SUMIF($B$169:$B$175,"article",F169:F175)</f>
        <v>#VALUE!</v>
      </c>
      <c r="G168" s="68" t="e">
        <f>SUMIF($B$169:$B$175,"article",G169:G175)</f>
        <v>#VALUE!</v>
      </c>
      <c r="H168" s="68">
        <f>SUMIF($B$169:$B$175,"article",H169:H175)</f>
        <v>58255423.912</v>
      </c>
      <c r="I168" s="68">
        <v>58005200.86999999</v>
      </c>
      <c r="J168" s="68">
        <f>SUMIF($B$169:$B$175,"article",J169:J175)</f>
        <v>55791863.500000007</v>
      </c>
      <c r="K168" s="68">
        <f>SUMIF($B$169:$B$175,"article",K169:K175)</f>
        <v>2463560.4119999986</v>
      </c>
      <c r="L168" s="69">
        <f t="shared" si="88"/>
        <v>0.95771105509898236</v>
      </c>
      <c r="M168" s="68"/>
      <c r="N168" s="68"/>
      <c r="O168" s="9"/>
      <c r="Q168" s="23"/>
      <c r="AK168" s="70"/>
      <c r="AL168" s="70"/>
      <c r="AM168" s="70"/>
      <c r="AN168" s="70"/>
      <c r="AO168" s="11">
        <v>1114111</v>
      </c>
    </row>
    <row r="169" spans="1:42" s="62" customFormat="1" ht="27.75" customHeight="1" thickTop="1" thickBot="1" x14ac:dyDescent="0.3">
      <c r="A169" s="56" t="s">
        <v>22</v>
      </c>
      <c r="B169" s="56" t="s">
        <v>22</v>
      </c>
      <c r="C169" s="57">
        <f t="shared" ref="C169:C175" si="89">IF(A168="SECTION",D168,C168)</f>
        <v>1114111</v>
      </c>
      <c r="D169" s="58">
        <v>1</v>
      </c>
      <c r="E169" s="59" t="str">
        <f t="shared" ref="E169:E175" si="90">IF(D169=1, "DEPENSES DE PERSONNEL",  +IF(D169=2,"DEPENSES DE SERVICES ET CHARGES DIVERSES", +IF(D169=3,"ACHATS DE BIENS DE CONSOMMATION ET PETITS MATERIELS",+IF(D169=4,"IMMOBILISATION CORPORELLE",+IF(D169=5,"IMMOBILISATION INCORPORELLE",+IF(D169=7,"SUBVENTIONS,QUOTES-PARTS ET CONTRIB.,ALLOC, INDEMNISATIONS",+IF(D169=8,"AMORTISSEMENT DE LA DETTE",+IF(D169=9,"AUTRES DEPENSES PUBLIQUES",0))))))))</f>
        <v>DEPENSES DE PERSONNEL</v>
      </c>
      <c r="F169" s="60" t="e">
        <f>SUMIFS([49]mensuel_section_article1!$E$3:$E$962,[49]mensuel_section_article1!$B$3:$B$962,C169,[49]mensuel_section_article1!$C$3:$C$962,D169)</f>
        <v>#VALUE!</v>
      </c>
      <c r="G169" s="60" t="e">
        <f>SUMIFS([49]mensuel_section_article1!$G$3:$G$962,[49]mensuel_section_article1!$B$3:$B$962,C169,[49]mensuel_section_article1!$C$3:$C$962,D169)</f>
        <v>#VALUE!</v>
      </c>
      <c r="H169" s="60">
        <v>41257058.039999999</v>
      </c>
      <c r="I169" s="60">
        <v>40450100.960000001</v>
      </c>
      <c r="J169" s="60">
        <v>40243715.780000001</v>
      </c>
      <c r="K169" s="60">
        <f t="shared" ref="K169:K175" si="91">+H169-J169</f>
        <v>1013342.2599999979</v>
      </c>
      <c r="L169" s="61">
        <f t="shared" si="88"/>
        <v>0.97543832963035004</v>
      </c>
      <c r="M169" s="60"/>
      <c r="N169" s="24"/>
      <c r="O169" s="9"/>
      <c r="Q169" s="63"/>
      <c r="AK169" s="64"/>
      <c r="AL169" s="64"/>
      <c r="AM169" s="64"/>
      <c r="AN169" s="64"/>
      <c r="AO169" s="11">
        <v>1114111</v>
      </c>
      <c r="AP169" s="65" t="str">
        <f t="shared" ref="AP169:AP175" si="92">CONCATENATE(AO169,D169)</f>
        <v>11141111</v>
      </c>
    </row>
    <row r="170" spans="1:42" s="62" customFormat="1" ht="27.75" customHeight="1" thickTop="1" thickBot="1" x14ac:dyDescent="0.3">
      <c r="A170" s="56" t="s">
        <v>22</v>
      </c>
      <c r="B170" s="56" t="s">
        <v>22</v>
      </c>
      <c r="C170" s="57">
        <f t="shared" si="89"/>
        <v>1114111</v>
      </c>
      <c r="D170" s="58">
        <v>2</v>
      </c>
      <c r="E170" s="59" t="str">
        <f t="shared" si="90"/>
        <v>DEPENSES DE SERVICES ET CHARGES DIVERSES</v>
      </c>
      <c r="F170" s="60" t="e">
        <f>SUMIFS([49]mensuel_section_article1!$E$3:$E$962,[49]mensuel_section_article1!$B$3:$B$962,C170,[49]mensuel_section_article1!$C$3:$C$962,D170)</f>
        <v>#VALUE!</v>
      </c>
      <c r="G170" s="60" t="e">
        <f>SUMIFS([49]mensuel_section_article1!$G$3:$G$962,[49]mensuel_section_article1!$B$3:$B$962,C170,[49]mensuel_section_article1!$C$3:$C$962,D170)</f>
        <v>#VALUE!</v>
      </c>
      <c r="H170" s="60">
        <v>6175007.9960000003</v>
      </c>
      <c r="I170" s="60">
        <v>7372009.0099999998</v>
      </c>
      <c r="J170" s="60">
        <v>6245558.3399999999</v>
      </c>
      <c r="K170" s="60">
        <f t="shared" si="91"/>
        <v>-70550.343999999575</v>
      </c>
      <c r="L170" s="61">
        <f t="shared" si="88"/>
        <v>1.0114251421286742</v>
      </c>
      <c r="M170" s="60"/>
      <c r="N170" s="24"/>
      <c r="O170" s="9"/>
      <c r="Q170" s="63"/>
      <c r="AK170" s="64"/>
      <c r="AL170" s="64"/>
      <c r="AM170" s="64"/>
      <c r="AN170" s="64"/>
      <c r="AO170" s="11">
        <v>1114111</v>
      </c>
      <c r="AP170" s="65" t="str">
        <f t="shared" si="92"/>
        <v>11141112</v>
      </c>
    </row>
    <row r="171" spans="1:42" s="62" customFormat="1" ht="27.75" customHeight="1" thickTop="1" thickBot="1" x14ac:dyDescent="0.3">
      <c r="A171" s="56" t="s">
        <v>22</v>
      </c>
      <c r="B171" s="56" t="s">
        <v>22</v>
      </c>
      <c r="C171" s="57">
        <f t="shared" si="89"/>
        <v>1114111</v>
      </c>
      <c r="D171" s="58">
        <v>3</v>
      </c>
      <c r="E171" s="59" t="str">
        <f t="shared" si="90"/>
        <v>ACHATS DE BIENS DE CONSOMMATION ET PETITS MATERIELS</v>
      </c>
      <c r="F171" s="60" t="e">
        <f>SUMIFS([49]mensuel_section_article1!$E$3:$E$962,[49]mensuel_section_article1!$B$3:$B$962,C171,[49]mensuel_section_article1!$C$3:$C$962,D171)</f>
        <v>#VALUE!</v>
      </c>
      <c r="G171" s="60" t="e">
        <f>SUMIFS([49]mensuel_section_article1!$G$3:$G$962,[49]mensuel_section_article1!$B$3:$B$962,C171,[49]mensuel_section_article1!$C$3:$C$962,D171)</f>
        <v>#VALUE!</v>
      </c>
      <c r="H171" s="60">
        <v>2972422.8</v>
      </c>
      <c r="I171" s="60">
        <v>2565422.79</v>
      </c>
      <c r="J171" s="60">
        <v>2409299.2800000003</v>
      </c>
      <c r="K171" s="60">
        <f t="shared" si="91"/>
        <v>563123.51999999955</v>
      </c>
      <c r="L171" s="61">
        <f t="shared" si="88"/>
        <v>0.81055066594160174</v>
      </c>
      <c r="M171" s="60"/>
      <c r="N171" s="24"/>
      <c r="O171" s="9"/>
      <c r="Q171" s="63"/>
      <c r="AK171" s="64"/>
      <c r="AL171" s="64"/>
      <c r="AM171" s="64"/>
      <c r="AN171" s="64"/>
      <c r="AO171" s="11">
        <v>1114111</v>
      </c>
      <c r="AP171" s="65" t="str">
        <f t="shared" si="92"/>
        <v>11141113</v>
      </c>
    </row>
    <row r="172" spans="1:42" s="62" customFormat="1" ht="27.75" customHeight="1" thickTop="1" thickBot="1" x14ac:dyDescent="0.3">
      <c r="A172" s="56" t="s">
        <v>22</v>
      </c>
      <c r="B172" s="56" t="s">
        <v>22</v>
      </c>
      <c r="C172" s="57">
        <f t="shared" si="89"/>
        <v>1114111</v>
      </c>
      <c r="D172" s="58">
        <v>4</v>
      </c>
      <c r="E172" s="59" t="str">
        <f t="shared" si="90"/>
        <v>IMMOBILISATION CORPORELLE</v>
      </c>
      <c r="F172" s="60" t="e">
        <f>SUMIFS([49]mensuel_section_article1!$E$3:$E$962,[49]mensuel_section_article1!$B$3:$B$962,C172,[49]mensuel_section_article1!$C$3:$C$962,D172)</f>
        <v>#VALUE!</v>
      </c>
      <c r="G172" s="60" t="e">
        <f>SUMIFS([49]mensuel_section_article1!$G$3:$G$962,[49]mensuel_section_article1!$B$3:$B$962,C172,[49]mensuel_section_article1!$C$3:$C$962,D172)</f>
        <v>#VALUE!</v>
      </c>
      <c r="H172" s="60">
        <v>7150455.4760000007</v>
      </c>
      <c r="I172" s="60">
        <v>6917188.5099999998</v>
      </c>
      <c r="J172" s="60">
        <v>6193290.0999999996</v>
      </c>
      <c r="K172" s="60">
        <f t="shared" si="91"/>
        <v>957165.3760000011</v>
      </c>
      <c r="L172" s="61">
        <f t="shared" si="88"/>
        <v>0.8661392439666733</v>
      </c>
      <c r="M172" s="60"/>
      <c r="N172" s="24"/>
      <c r="O172" s="9"/>
      <c r="Q172" s="63"/>
      <c r="AK172" s="64"/>
      <c r="AL172" s="64"/>
      <c r="AM172" s="64"/>
      <c r="AN172" s="64"/>
      <c r="AO172" s="11">
        <v>1114111</v>
      </c>
      <c r="AP172" s="65" t="str">
        <f t="shared" si="92"/>
        <v>11141114</v>
      </c>
    </row>
    <row r="173" spans="1:42" s="62" customFormat="1" ht="27.75" hidden="1" customHeight="1" thickTop="1" thickBot="1" x14ac:dyDescent="0.3">
      <c r="A173" s="56" t="s">
        <v>22</v>
      </c>
      <c r="B173" s="56" t="s">
        <v>22</v>
      </c>
      <c r="C173" s="57">
        <f t="shared" si="89"/>
        <v>1114111</v>
      </c>
      <c r="D173" s="58">
        <v>5</v>
      </c>
      <c r="E173" s="59" t="str">
        <f t="shared" si="90"/>
        <v>IMMOBILISATION INCORPORELLE</v>
      </c>
      <c r="F173" s="60" t="e">
        <f>SUMIFS([49]mensuel_section_article1!$E$3:$E$962,[49]mensuel_section_article1!$B$3:$B$962,C173,[49]mensuel_section_article1!$C$3:$C$962,D173)</f>
        <v>#VALUE!</v>
      </c>
      <c r="G173" s="60" t="e">
        <f>SUMIFS([49]mensuel_section_article1!$G$3:$G$962,[49]mensuel_section_article1!$B$3:$B$962,C173,[49]mensuel_section_article1!$C$3:$C$962,D173)</f>
        <v>#VALUE!</v>
      </c>
      <c r="H173" s="60">
        <v>0</v>
      </c>
      <c r="I173" s="60">
        <v>0</v>
      </c>
      <c r="J173" s="60">
        <v>0</v>
      </c>
      <c r="K173" s="60">
        <f t="shared" si="91"/>
        <v>0</v>
      </c>
      <c r="L173" s="61" t="e">
        <f>IF(F173&lt;&gt;0,K173/F173,0)</f>
        <v>#VALUE!</v>
      </c>
      <c r="M173" s="60" t="e">
        <f>+SUMIFS([51]section_article!$H$10:$H$936,[51]section_article!$C$10:$C$936,C173,[51]section_article!$D$10:$D$936,D173)</f>
        <v>#VALUE!</v>
      </c>
      <c r="N173" s="24" t="e">
        <f t="shared" ref="N169:N175" si="93">+J173-M173</f>
        <v>#VALUE!</v>
      </c>
      <c r="O173" s="9"/>
      <c r="Q173" s="63"/>
      <c r="AK173" s="64"/>
      <c r="AL173" s="64"/>
      <c r="AM173" s="64"/>
      <c r="AN173" s="64"/>
      <c r="AO173" s="11">
        <v>1114111</v>
      </c>
      <c r="AP173" s="65" t="str">
        <f t="shared" si="92"/>
        <v>11141115</v>
      </c>
    </row>
    <row r="174" spans="1:42" s="62" customFormat="1" ht="27.75" customHeight="1" thickTop="1" thickBot="1" x14ac:dyDescent="0.3">
      <c r="A174" s="56" t="s">
        <v>22</v>
      </c>
      <c r="B174" s="56" t="s">
        <v>22</v>
      </c>
      <c r="C174" s="57">
        <f t="shared" si="89"/>
        <v>1114111</v>
      </c>
      <c r="D174" s="58">
        <v>7</v>
      </c>
      <c r="E174" s="59" t="str">
        <f t="shared" si="90"/>
        <v>SUBVENTIONS,QUOTES-PARTS ET CONTRIB.,ALLOC, INDEMNISATIONS</v>
      </c>
      <c r="F174" s="60" t="e">
        <f>SUMIFS([49]mensuel_section_article1!$E$3:$E$962,[49]mensuel_section_article1!$B$3:$B$962,C174,[49]mensuel_section_article1!$C$3:$C$962,D174)</f>
        <v>#VALUE!</v>
      </c>
      <c r="G174" s="60" t="e">
        <f>SUMIFS([49]mensuel_section_article1!$G$3:$G$962,[49]mensuel_section_article1!$B$3:$B$962,C174,[49]mensuel_section_article1!$C$3:$C$962,D174)</f>
        <v>#VALUE!</v>
      </c>
      <c r="H174" s="60">
        <v>700475.76</v>
      </c>
      <c r="I174" s="60">
        <v>700475.79999999993</v>
      </c>
      <c r="J174" s="60">
        <v>700000</v>
      </c>
      <c r="K174" s="60">
        <f t="shared" si="91"/>
        <v>475.76000000000931</v>
      </c>
      <c r="L174" s="61" t="e">
        <f>IF(F174&lt;&gt;0,K174/F174,0)</f>
        <v>#VALUE!</v>
      </c>
      <c r="M174" s="60"/>
      <c r="N174" s="24"/>
      <c r="O174" s="9"/>
      <c r="Q174" s="63"/>
      <c r="AK174" s="64"/>
      <c r="AL174" s="64"/>
      <c r="AM174" s="64"/>
      <c r="AN174" s="64"/>
      <c r="AO174" s="11">
        <v>1114111</v>
      </c>
      <c r="AP174" s="65" t="str">
        <f t="shared" si="92"/>
        <v>11141117</v>
      </c>
    </row>
    <row r="175" spans="1:42" s="62" customFormat="1" ht="27.75" hidden="1" customHeight="1" thickTop="1" thickBot="1" x14ac:dyDescent="0.3">
      <c r="A175" s="56" t="s">
        <v>22</v>
      </c>
      <c r="B175" s="56" t="s">
        <v>22</v>
      </c>
      <c r="C175" s="57">
        <f t="shared" si="89"/>
        <v>1114111</v>
      </c>
      <c r="D175" s="58">
        <v>9</v>
      </c>
      <c r="E175" s="59" t="str">
        <f t="shared" si="90"/>
        <v>AUTRES DEPENSES PUBLIQUES</v>
      </c>
      <c r="F175" s="60" t="e">
        <f>SUMIFS([49]mensuel_section_article1!$E$3:$E$962,[49]mensuel_section_article1!$B$3:$B$962,C175,[49]mensuel_section_article1!$C$3:$C$962,D175)</f>
        <v>#VALUE!</v>
      </c>
      <c r="G175" s="60" t="e">
        <f>SUMIFS([49]mensuel_section_article1!$G$3:$G$962,[49]mensuel_section_article1!$B$3:$B$962,C175,[49]mensuel_section_article1!$C$3:$C$962,D175)</f>
        <v>#VALUE!</v>
      </c>
      <c r="H175" s="60">
        <v>3.8400000000256114</v>
      </c>
      <c r="I175" s="60">
        <v>3.8</v>
      </c>
      <c r="J175" s="60">
        <v>0</v>
      </c>
      <c r="K175" s="60">
        <f t="shared" si="91"/>
        <v>3.8400000000256114</v>
      </c>
      <c r="L175" s="61" t="e">
        <f>IF(F175&lt;&gt;0,K175/F175,0)</f>
        <v>#VALUE!</v>
      </c>
      <c r="M175" s="60" t="e">
        <f>+SUMIFS([51]section_article!$H$10:$H$936,[51]section_article!$C$10:$C$936,C175,[51]section_article!$D$10:$D$936,D175)</f>
        <v>#VALUE!</v>
      </c>
      <c r="N175" s="24" t="e">
        <f t="shared" si="93"/>
        <v>#VALUE!</v>
      </c>
      <c r="O175" s="9"/>
      <c r="Q175" s="63"/>
      <c r="AK175" s="64"/>
      <c r="AL175" s="64"/>
      <c r="AM175" s="64"/>
      <c r="AN175" s="64"/>
      <c r="AO175" s="11">
        <v>1114111</v>
      </c>
      <c r="AP175" s="65" t="str">
        <f t="shared" si="92"/>
        <v>11141119</v>
      </c>
    </row>
    <row r="176" spans="1:42" s="1" customFormat="1" ht="27.75" customHeight="1" thickTop="1" thickBot="1" x14ac:dyDescent="0.3">
      <c r="A176" s="82" t="s">
        <v>20</v>
      </c>
      <c r="B176" s="82" t="s">
        <v>20</v>
      </c>
      <c r="C176" s="82" t="s">
        <v>20</v>
      </c>
      <c r="D176" s="51">
        <v>1114112</v>
      </c>
      <c r="E176" s="67" t="s">
        <v>23</v>
      </c>
      <c r="F176" s="68" t="e">
        <f>SUMIF($B$177:$B$183,"article",F177:F183)</f>
        <v>#VALUE!</v>
      </c>
      <c r="G176" s="68" t="e">
        <f>SUMIF($B$177:$B$183,"article",G177:G183)</f>
        <v>#VALUE!</v>
      </c>
      <c r="H176" s="68">
        <f>SUMIF($B$177:$B$183,"article",H177:H183)</f>
        <v>562984671.67500007</v>
      </c>
      <c r="I176" s="68">
        <v>562945670.7299999</v>
      </c>
      <c r="J176" s="68">
        <f>SUMIF($B$177:$B$183,"article",J177:J183)</f>
        <v>528653272.26999992</v>
      </c>
      <c r="K176" s="68">
        <f>SUMIF($B$177:$B$183,"article",K177:K183)</f>
        <v>34331399.405000024</v>
      </c>
      <c r="L176" s="69">
        <f>+J176/H176</f>
        <v>0.93901894468484037</v>
      </c>
      <c r="M176" s="68"/>
      <c r="N176" s="68"/>
      <c r="O176" s="9"/>
      <c r="Q176" s="23"/>
      <c r="AK176" s="70"/>
      <c r="AL176" s="70"/>
      <c r="AM176" s="70"/>
      <c r="AN176" s="70"/>
      <c r="AO176" s="11">
        <v>1114112</v>
      </c>
    </row>
    <row r="177" spans="1:42" s="62" customFormat="1" ht="27.75" customHeight="1" thickTop="1" thickBot="1" x14ac:dyDescent="0.3">
      <c r="A177" s="56" t="s">
        <v>22</v>
      </c>
      <c r="B177" s="56" t="s">
        <v>22</v>
      </c>
      <c r="C177" s="57">
        <f t="shared" ref="C177:C183" si="94">IF(A176="SECTION",D176,C176)</f>
        <v>1114112</v>
      </c>
      <c r="D177" s="58">
        <v>1</v>
      </c>
      <c r="E177" s="59" t="str">
        <f t="shared" ref="E177:E183" si="95">IF(D177=1, "DEPENSES DE PERSONNEL",  +IF(D177=2,"DEPENSES DE SERVICES ET CHARGES DIVERSES", +IF(D177=3,"ACHATS DE BIENS DE CONSOMMATION ET PETITS MATERIELS",+IF(D177=4,"IMMOBILISATION CORPORELLE",+IF(D177=5,"IMMOBILISATION INCORPORELLE",+IF(D177=7,"SUBVENTIONS,QUOTES-PARTS ET CONTRIB.,ALLOC, INDEMNISATIONS",+IF(D177=8,"AMORTISSEMENT DE LA DETTE",+IF(D177=9,"AUTRES DEPENSES PUBLIQUES",0))))))))</f>
        <v>DEPENSES DE PERSONNEL</v>
      </c>
      <c r="F177" s="60" t="e">
        <f>SUMIFS([49]mensuel_section_article1!$E$3:$E$962,[49]mensuel_section_article1!$B$3:$B$962,C177,[49]mensuel_section_article1!$C$3:$C$962,D177)</f>
        <v>#VALUE!</v>
      </c>
      <c r="G177" s="60" t="e">
        <f>SUMIFS([49]mensuel_section_article1!$G$3:$G$962,[49]mensuel_section_article1!$B$3:$B$962,C177,[49]mensuel_section_article1!$C$3:$C$962,D177)</f>
        <v>#VALUE!</v>
      </c>
      <c r="H177" s="60">
        <v>402492485.07999992</v>
      </c>
      <c r="I177" s="60">
        <v>403010218.13999999</v>
      </c>
      <c r="J177" s="60">
        <v>401039971.44999993</v>
      </c>
      <c r="K177" s="60">
        <f t="shared" ref="K177:K183" si="96">+H177-J177</f>
        <v>1452513.6299999952</v>
      </c>
      <c r="L177" s="61">
        <f>+J177/H177</f>
        <v>0.99639120310603735</v>
      </c>
      <c r="M177" s="60"/>
      <c r="N177" s="24"/>
      <c r="O177" s="9"/>
      <c r="Q177" s="63"/>
      <c r="AK177" s="64"/>
      <c r="AL177" s="64"/>
      <c r="AM177" s="64"/>
      <c r="AN177" s="64"/>
      <c r="AO177" s="11">
        <v>1114112</v>
      </c>
      <c r="AP177" s="65" t="str">
        <f t="shared" ref="AP177:AP183" si="97">CONCATENATE(AO177,D177)</f>
        <v>11141121</v>
      </c>
    </row>
    <row r="178" spans="1:42" s="62" customFormat="1" ht="27.75" customHeight="1" thickTop="1" thickBot="1" x14ac:dyDescent="0.3">
      <c r="A178" s="56" t="s">
        <v>22</v>
      </c>
      <c r="B178" s="56" t="s">
        <v>22</v>
      </c>
      <c r="C178" s="57">
        <f t="shared" si="94"/>
        <v>1114112</v>
      </c>
      <c r="D178" s="58">
        <v>2</v>
      </c>
      <c r="E178" s="59" t="str">
        <f t="shared" si="95"/>
        <v>DEPENSES DE SERVICES ET CHARGES DIVERSES</v>
      </c>
      <c r="F178" s="60" t="e">
        <f>SUMIFS([49]mensuel_section_article1!$E$3:$E$962,[49]mensuel_section_article1!$B$3:$B$962,C178,[49]mensuel_section_article1!$C$3:$C$962,D178)</f>
        <v>#VALUE!</v>
      </c>
      <c r="G178" s="60" t="e">
        <f>SUMIFS([49]mensuel_section_article1!$G$3:$G$962,[49]mensuel_section_article1!$B$3:$B$962,C178,[49]mensuel_section_article1!$C$3:$C$962,D178)</f>
        <v>#VALUE!</v>
      </c>
      <c r="H178" s="60">
        <v>86454144.203000009</v>
      </c>
      <c r="I178" s="60">
        <v>61677412.219999991</v>
      </c>
      <c r="J178" s="60">
        <v>49360416.57</v>
      </c>
      <c r="K178" s="60">
        <f t="shared" si="96"/>
        <v>37093727.633000009</v>
      </c>
      <c r="L178" s="61">
        <f>+J178/H178</f>
        <v>0.57094332521641189</v>
      </c>
      <c r="M178" s="60"/>
      <c r="N178" s="24"/>
      <c r="O178" s="9"/>
      <c r="Q178" s="63"/>
      <c r="AK178" s="64"/>
      <c r="AL178" s="64"/>
      <c r="AM178" s="64"/>
      <c r="AN178" s="64"/>
      <c r="AO178" s="11">
        <v>1114112</v>
      </c>
      <c r="AP178" s="65" t="str">
        <f t="shared" si="97"/>
        <v>11141122</v>
      </c>
    </row>
    <row r="179" spans="1:42" s="62" customFormat="1" ht="27.75" customHeight="1" thickTop="1" thickBot="1" x14ac:dyDescent="0.3">
      <c r="A179" s="56" t="s">
        <v>22</v>
      </c>
      <c r="B179" s="56" t="s">
        <v>22</v>
      </c>
      <c r="C179" s="57">
        <f t="shared" si="94"/>
        <v>1114112</v>
      </c>
      <c r="D179" s="58">
        <v>3</v>
      </c>
      <c r="E179" s="59" t="str">
        <f t="shared" si="95"/>
        <v>ACHATS DE BIENS DE CONSOMMATION ET PETITS MATERIELS</v>
      </c>
      <c r="F179" s="60" t="e">
        <f>SUMIFS([49]mensuel_section_article1!$E$3:$E$962,[49]mensuel_section_article1!$B$3:$B$962,C179,[49]mensuel_section_article1!$C$3:$C$962,D179)</f>
        <v>#VALUE!</v>
      </c>
      <c r="G179" s="60" t="e">
        <f>SUMIFS([49]mensuel_section_article1!$G$3:$G$962,[49]mensuel_section_article1!$B$3:$B$962,C179,[49]mensuel_section_article1!$C$3:$C$962,D179)</f>
        <v>#VALUE!</v>
      </c>
      <c r="H179" s="60">
        <v>68950172.112000018</v>
      </c>
      <c r="I179" s="60">
        <v>92936903.079999998</v>
      </c>
      <c r="J179" s="60">
        <v>74694075.549999997</v>
      </c>
      <c r="K179" s="60">
        <f t="shared" si="96"/>
        <v>-5743903.4379999787</v>
      </c>
      <c r="L179" s="61">
        <f>+J179/H179</f>
        <v>1.0833051356082157</v>
      </c>
      <c r="M179" s="60"/>
      <c r="N179" s="24"/>
      <c r="O179" s="9"/>
      <c r="Q179" s="63"/>
      <c r="AK179" s="64"/>
      <c r="AL179" s="64"/>
      <c r="AM179" s="64"/>
      <c r="AN179" s="64"/>
      <c r="AO179" s="11">
        <v>1114112</v>
      </c>
      <c r="AP179" s="65" t="str">
        <f t="shared" si="97"/>
        <v>11141123</v>
      </c>
    </row>
    <row r="180" spans="1:42" s="62" customFormat="1" ht="27.75" customHeight="1" thickTop="1" thickBot="1" x14ac:dyDescent="0.3">
      <c r="A180" s="56" t="s">
        <v>22</v>
      </c>
      <c r="B180" s="56" t="s">
        <v>22</v>
      </c>
      <c r="C180" s="57">
        <f t="shared" si="94"/>
        <v>1114112</v>
      </c>
      <c r="D180" s="58">
        <v>4</v>
      </c>
      <c r="E180" s="59" t="str">
        <f t="shared" si="95"/>
        <v>IMMOBILISATION CORPORELLE</v>
      </c>
      <c r="F180" s="60" t="e">
        <f>SUMIFS([49]mensuel_section_article1!$E$3:$E$962,[49]mensuel_section_article1!$B$3:$B$962,C180,[49]mensuel_section_article1!$C$3:$C$962,D180)</f>
        <v>#VALUE!</v>
      </c>
      <c r="G180" s="60" t="e">
        <f>SUMIFS([49]mensuel_section_article1!$G$3:$G$962,[49]mensuel_section_article1!$B$3:$B$962,C180,[49]mensuel_section_article1!$C$3:$C$962,D180)</f>
        <v>#VALUE!</v>
      </c>
      <c r="H180" s="60">
        <v>3164749.32</v>
      </c>
      <c r="I180" s="60">
        <v>2993766.2899999996</v>
      </c>
      <c r="J180" s="60">
        <v>2164558.7000000002</v>
      </c>
      <c r="K180" s="60">
        <f t="shared" si="96"/>
        <v>1000190.6199999996</v>
      </c>
      <c r="L180" s="61">
        <f>+J180/H180</f>
        <v>0.68395897467164957</v>
      </c>
      <c r="M180" s="60"/>
      <c r="N180" s="24"/>
      <c r="O180" s="9"/>
      <c r="Q180" s="63"/>
      <c r="AK180" s="64"/>
      <c r="AL180" s="64"/>
      <c r="AM180" s="64"/>
      <c r="AN180" s="64"/>
      <c r="AO180" s="11">
        <v>1114112</v>
      </c>
      <c r="AP180" s="65" t="str">
        <f t="shared" si="97"/>
        <v>11141124</v>
      </c>
    </row>
    <row r="181" spans="1:42" s="62" customFormat="1" ht="27.75" hidden="1" customHeight="1" thickTop="1" thickBot="1" x14ac:dyDescent="0.3">
      <c r="A181" s="56" t="s">
        <v>22</v>
      </c>
      <c r="B181" s="56" t="s">
        <v>22</v>
      </c>
      <c r="C181" s="57">
        <f t="shared" si="94"/>
        <v>1114112</v>
      </c>
      <c r="D181" s="58">
        <v>5</v>
      </c>
      <c r="E181" s="59" t="str">
        <f t="shared" si="95"/>
        <v>IMMOBILISATION INCORPORELLE</v>
      </c>
      <c r="F181" s="60" t="e">
        <f>SUMIFS([49]mensuel_section_article1!$E$3:$E$962,[49]mensuel_section_article1!$B$3:$B$962,C181,[49]mensuel_section_article1!$C$3:$C$962,D181)</f>
        <v>#VALUE!</v>
      </c>
      <c r="G181" s="60" t="e">
        <f>SUMIFS([49]mensuel_section_article1!$G$3:$G$962,[49]mensuel_section_article1!$B$3:$B$962,C181,[49]mensuel_section_article1!$C$3:$C$962,D181)</f>
        <v>#VALUE!</v>
      </c>
      <c r="H181" s="60">
        <v>0</v>
      </c>
      <c r="I181" s="60">
        <v>404250</v>
      </c>
      <c r="J181" s="60">
        <v>404250</v>
      </c>
      <c r="K181" s="60">
        <f t="shared" si="96"/>
        <v>-404250</v>
      </c>
      <c r="L181" s="61" t="e">
        <f>IF(F181&lt;&gt;0,K181/F181,0)</f>
        <v>#VALUE!</v>
      </c>
      <c r="M181" s="60" t="e">
        <f>+SUMIFS([51]section_article!$H$10:$H$936,[51]section_article!$C$10:$C$936,C181,[51]section_article!$D$10:$D$936,D181)</f>
        <v>#VALUE!</v>
      </c>
      <c r="N181" s="24" t="e">
        <f t="shared" ref="N177:N183" si="98">+J181-M181</f>
        <v>#VALUE!</v>
      </c>
      <c r="O181" s="9"/>
      <c r="Q181" s="63"/>
      <c r="AK181" s="64"/>
      <c r="AL181" s="64"/>
      <c r="AM181" s="64"/>
      <c r="AN181" s="64"/>
      <c r="AO181" s="11">
        <v>1114112</v>
      </c>
      <c r="AP181" s="65" t="str">
        <f t="shared" si="97"/>
        <v>11141125</v>
      </c>
    </row>
    <row r="182" spans="1:42" s="62" customFormat="1" ht="27.75" hidden="1" customHeight="1" thickTop="1" thickBot="1" x14ac:dyDescent="0.3">
      <c r="A182" s="56" t="s">
        <v>22</v>
      </c>
      <c r="B182" s="56" t="s">
        <v>22</v>
      </c>
      <c r="C182" s="57">
        <f t="shared" si="94"/>
        <v>1114112</v>
      </c>
      <c r="D182" s="58">
        <v>7</v>
      </c>
      <c r="E182" s="59" t="str">
        <f t="shared" si="95"/>
        <v>SUBVENTIONS,QUOTES-PARTS ET CONTRIB.,ALLOC, INDEMNISATIONS</v>
      </c>
      <c r="F182" s="60" t="e">
        <f>SUMIFS([49]mensuel_section_article1!$E$3:$E$962,[49]mensuel_section_article1!$B$3:$B$962,C182,[49]mensuel_section_article1!$C$3:$C$962,D182)</f>
        <v>#VALUE!</v>
      </c>
      <c r="G182" s="60" t="e">
        <f>SUMIFS([49]mensuel_section_article1!$G$3:$G$962,[49]mensuel_section_article1!$B$3:$B$962,C182,[49]mensuel_section_article1!$C$3:$C$962,D182)</f>
        <v>#VALUE!</v>
      </c>
      <c r="H182" s="60">
        <v>0</v>
      </c>
      <c r="I182" s="60">
        <v>0</v>
      </c>
      <c r="J182" s="60">
        <v>0</v>
      </c>
      <c r="K182" s="60">
        <f t="shared" si="96"/>
        <v>0</v>
      </c>
      <c r="L182" s="61" t="e">
        <f>IF(F182&lt;&gt;0,K182/F182,0)</f>
        <v>#VALUE!</v>
      </c>
      <c r="M182" s="60" t="e">
        <f>+SUMIFS([51]section_article!$H$10:$H$936,[51]section_article!$C$10:$C$936,C182,[51]section_article!$D$10:$D$936,D182)</f>
        <v>#VALUE!</v>
      </c>
      <c r="N182" s="24" t="e">
        <f t="shared" si="98"/>
        <v>#VALUE!</v>
      </c>
      <c r="O182" s="9"/>
      <c r="Q182" s="63"/>
      <c r="AK182" s="64"/>
      <c r="AL182" s="64"/>
      <c r="AM182" s="64"/>
      <c r="AN182" s="64"/>
      <c r="AO182" s="11">
        <v>1114112</v>
      </c>
      <c r="AP182" s="65" t="str">
        <f t="shared" si="97"/>
        <v>11141127</v>
      </c>
    </row>
    <row r="183" spans="1:42" s="62" customFormat="1" ht="27.75" customHeight="1" thickTop="1" thickBot="1" x14ac:dyDescent="0.3">
      <c r="A183" s="56" t="s">
        <v>22</v>
      </c>
      <c r="B183" s="56" t="s">
        <v>22</v>
      </c>
      <c r="C183" s="57">
        <f t="shared" si="94"/>
        <v>1114112</v>
      </c>
      <c r="D183" s="58">
        <v>9</v>
      </c>
      <c r="E183" s="59" t="str">
        <f t="shared" si="95"/>
        <v>AUTRES DEPENSES PUBLIQUES</v>
      </c>
      <c r="F183" s="60" t="e">
        <f>SUMIFS([49]mensuel_section_article1!$E$3:$E$962,[49]mensuel_section_article1!$B$3:$B$962,C183,[49]mensuel_section_article1!$C$3:$C$962,D183)</f>
        <v>#VALUE!</v>
      </c>
      <c r="G183" s="60" t="e">
        <f>SUMIFS([49]mensuel_section_article1!$G$3:$G$962,[49]mensuel_section_article1!$B$3:$B$962,C183,[49]mensuel_section_article1!$C$3:$C$962,D183)</f>
        <v>#VALUE!</v>
      </c>
      <c r="H183" s="60">
        <v>1923120.96</v>
      </c>
      <c r="I183" s="60">
        <v>1923121</v>
      </c>
      <c r="J183" s="60">
        <v>990000</v>
      </c>
      <c r="K183" s="60">
        <f t="shared" si="96"/>
        <v>933120.96</v>
      </c>
      <c r="L183" s="61">
        <f>+J183/H183</f>
        <v>0.51478821176178124</v>
      </c>
      <c r="M183" s="60"/>
      <c r="N183" s="24"/>
      <c r="O183" s="9"/>
      <c r="Q183" s="63"/>
      <c r="AK183" s="64"/>
      <c r="AL183" s="64"/>
      <c r="AM183" s="64"/>
      <c r="AN183" s="64"/>
      <c r="AO183" s="11">
        <v>1114112</v>
      </c>
      <c r="AP183" s="65" t="str">
        <f t="shared" si="97"/>
        <v>11141129</v>
      </c>
    </row>
    <row r="184" spans="1:42" s="1" customFormat="1" ht="27.75" customHeight="1" thickTop="1" thickBot="1" x14ac:dyDescent="0.3">
      <c r="A184" s="56" t="s">
        <v>20</v>
      </c>
      <c r="B184" s="56" t="s">
        <v>20</v>
      </c>
      <c r="C184" s="56" t="s">
        <v>20</v>
      </c>
      <c r="D184" s="51">
        <v>1114115</v>
      </c>
      <c r="E184" s="67" t="s">
        <v>44</v>
      </c>
      <c r="F184" s="68" t="e">
        <f>SUMIF($B$185:$B$191,"article",F185:F191)</f>
        <v>#VALUE!</v>
      </c>
      <c r="G184" s="68" t="e">
        <f>SUMIF($B$185:$B$191,"article",G185:G191)</f>
        <v>#VALUE!</v>
      </c>
      <c r="H184" s="68">
        <f>SUMIF($B$185:$B$191,"article",H185:H191)</f>
        <v>23093809.440000001</v>
      </c>
      <c r="I184" s="68">
        <v>23093609.399999999</v>
      </c>
      <c r="J184" s="68">
        <f>SUMIF($B$185:$B$191,"article",J185:J191)</f>
        <v>23025108.859999999</v>
      </c>
      <c r="K184" s="68">
        <f>SUMIF($B$185:$B$191,"article",K185:K191)</f>
        <v>68700.579999999143</v>
      </c>
      <c r="L184" s="69">
        <f>+J184/H184</f>
        <v>0.99702515168930905</v>
      </c>
      <c r="M184" s="68"/>
      <c r="N184" s="68"/>
      <c r="O184" s="9"/>
      <c r="Q184" s="23"/>
      <c r="AJ184" s="70"/>
      <c r="AK184" s="70"/>
      <c r="AL184" s="70"/>
      <c r="AM184" s="70"/>
      <c r="AN184" s="70"/>
      <c r="AO184" s="11">
        <v>1114115</v>
      </c>
    </row>
    <row r="185" spans="1:42" s="62" customFormat="1" ht="27.75" customHeight="1" thickTop="1" thickBot="1" x14ac:dyDescent="0.3">
      <c r="A185" s="56" t="s">
        <v>22</v>
      </c>
      <c r="B185" s="56" t="s">
        <v>22</v>
      </c>
      <c r="C185" s="57">
        <f t="shared" ref="C185:C191" si="99">IF(A184="SECTION",D184,C184)</f>
        <v>1114115</v>
      </c>
      <c r="D185" s="58">
        <v>1</v>
      </c>
      <c r="E185" s="59" t="str">
        <f t="shared" ref="E185:E191" si="100">IF(D185=1, "DEPENSES DE PERSONNEL",  +IF(D185=2,"DEPENSES DE SERVICES ET CHARGES DIVERSES", +IF(D185=3,"ACHATS DE BIENS DE CONSOMMATION ET PETITS MATERIELS",+IF(D185=4,"IMMOBILISATION CORPORELLE",+IF(D185=5,"IMMOBILISATION INCORPORELLE",+IF(D185=7,"SUBVENTIONS,QUOTES-PARTS ET CONTRIB.,ALLOC, INDEMNISATIONS",+IF(D185=8,"AMORTISSEMENT DE LA DETTE",+IF(D185=9,"AUTRES DEPENSES PUBLIQUES",0))))))))</f>
        <v>DEPENSES DE PERSONNEL</v>
      </c>
      <c r="F185" s="60" t="e">
        <f>SUMIFS([49]mensuel_section_article1!$E$3:$E$962,[49]mensuel_section_article1!$B$3:$B$962,C185,[49]mensuel_section_article1!$C$3:$C$962,D185)</f>
        <v>#VALUE!</v>
      </c>
      <c r="G185" s="60" t="e">
        <f>SUMIFS([49]mensuel_section_article1!$G$3:$G$962,[49]mensuel_section_article1!$B$3:$B$962,C185,[49]mensuel_section_article1!$C$3:$C$962,D185)</f>
        <v>#VALUE!</v>
      </c>
      <c r="H185" s="60">
        <v>19732652.52</v>
      </c>
      <c r="I185" s="60">
        <v>19732452.5</v>
      </c>
      <c r="J185" s="60">
        <v>19663951.960000001</v>
      </c>
      <c r="K185" s="60">
        <f t="shared" ref="K185:K191" si="101">+H185-J185</f>
        <v>68700.559999998659</v>
      </c>
      <c r="L185" s="61">
        <f>+J185/H185</f>
        <v>0.99651843258627459</v>
      </c>
      <c r="M185" s="60"/>
      <c r="N185" s="24"/>
      <c r="O185" s="9"/>
      <c r="Q185" s="63"/>
      <c r="AJ185" s="64"/>
      <c r="AK185" s="64"/>
      <c r="AL185" s="64"/>
      <c r="AM185" s="64"/>
      <c r="AN185" s="64"/>
      <c r="AO185" s="11">
        <v>1114115</v>
      </c>
      <c r="AP185" s="65" t="str">
        <f t="shared" ref="AP185:AP191" si="102">CONCATENATE(AO185,D185)</f>
        <v>11141151</v>
      </c>
    </row>
    <row r="186" spans="1:42" s="62" customFormat="1" ht="27.75" customHeight="1" thickTop="1" thickBot="1" x14ac:dyDescent="0.3">
      <c r="A186" s="56" t="s">
        <v>22</v>
      </c>
      <c r="B186" s="56" t="s">
        <v>22</v>
      </c>
      <c r="C186" s="57">
        <f t="shared" si="99"/>
        <v>1114115</v>
      </c>
      <c r="D186" s="58">
        <v>2</v>
      </c>
      <c r="E186" s="59" t="str">
        <f t="shared" si="100"/>
        <v>DEPENSES DE SERVICES ET CHARGES DIVERSES</v>
      </c>
      <c r="F186" s="60" t="e">
        <f>SUMIFS([49]mensuel_section_article1!$E$3:$E$962,[49]mensuel_section_article1!$B$3:$B$962,C186,[49]mensuel_section_article1!$C$3:$C$962,D186)</f>
        <v>#VALUE!</v>
      </c>
      <c r="G186" s="60" t="e">
        <f>SUMIFS([49]mensuel_section_article1!$G$3:$G$962,[49]mensuel_section_article1!$B$3:$B$962,C186,[49]mensuel_section_article1!$C$3:$C$962,D186)</f>
        <v>#VALUE!</v>
      </c>
      <c r="H186" s="60">
        <v>3361156.9200000004</v>
      </c>
      <c r="I186" s="60">
        <v>3361156.9</v>
      </c>
      <c r="J186" s="60">
        <v>3361156.9</v>
      </c>
      <c r="K186" s="60">
        <f t="shared" si="101"/>
        <v>2.0000000484287739E-2</v>
      </c>
      <c r="L186" s="61">
        <f>+J186/H186</f>
        <v>0.99999999404966777</v>
      </c>
      <c r="M186" s="60"/>
      <c r="N186" s="24"/>
      <c r="O186" s="9"/>
      <c r="Q186" s="63"/>
      <c r="AJ186" s="64"/>
      <c r="AK186" s="64"/>
      <c r="AL186" s="64"/>
      <c r="AM186" s="64"/>
      <c r="AN186" s="64"/>
      <c r="AO186" s="11">
        <v>1114115</v>
      </c>
      <c r="AP186" s="65" t="str">
        <f t="shared" si="102"/>
        <v>11141152</v>
      </c>
    </row>
    <row r="187" spans="1:42" s="62" customFormat="1" ht="27.75" hidden="1" customHeight="1" thickTop="1" thickBot="1" x14ac:dyDescent="0.3">
      <c r="A187" s="56" t="s">
        <v>22</v>
      </c>
      <c r="B187" s="56" t="s">
        <v>22</v>
      </c>
      <c r="C187" s="57">
        <f t="shared" si="99"/>
        <v>1114115</v>
      </c>
      <c r="D187" s="58">
        <v>3</v>
      </c>
      <c r="E187" s="59" t="str">
        <f t="shared" si="100"/>
        <v>ACHATS DE BIENS DE CONSOMMATION ET PETITS MATERIELS</v>
      </c>
      <c r="F187" s="60" t="e">
        <f>SUMIFS([49]mensuel_section_article1!$E$3:$E$962,[49]mensuel_section_article1!$B$3:$B$962,C187,[49]mensuel_section_article1!$C$3:$C$962,D187)</f>
        <v>#VALUE!</v>
      </c>
      <c r="G187" s="60" t="e">
        <f>SUMIFS([49]mensuel_section_article1!$G$3:$G$962,[49]mensuel_section_article1!$B$3:$B$962,C187,[49]mensuel_section_article1!$C$3:$C$962,D187)</f>
        <v>#VALUE!</v>
      </c>
      <c r="H187" s="60">
        <v>0</v>
      </c>
      <c r="I187" s="60">
        <v>0</v>
      </c>
      <c r="J187" s="60">
        <v>0</v>
      </c>
      <c r="K187" s="60">
        <f t="shared" si="101"/>
        <v>0</v>
      </c>
      <c r="L187" s="61" t="e">
        <f>IF(F187&lt;&gt;0,K187/F187,0)</f>
        <v>#VALUE!</v>
      </c>
      <c r="M187" s="60" t="e">
        <f>+SUMIFS([51]section_article!$H$10:$H$936,[51]section_article!$C$10:$C$936,C187,[51]section_article!$D$10:$D$936,D187)</f>
        <v>#VALUE!</v>
      </c>
      <c r="N187" s="24" t="e">
        <f t="shared" ref="N185:N191" si="103">+J187-M187</f>
        <v>#VALUE!</v>
      </c>
      <c r="O187" s="9"/>
      <c r="Q187" s="63"/>
      <c r="AJ187" s="64"/>
      <c r="AK187" s="64"/>
      <c r="AL187" s="64"/>
      <c r="AM187" s="64"/>
      <c r="AN187" s="64"/>
      <c r="AO187" s="11">
        <v>1114115</v>
      </c>
      <c r="AP187" s="65" t="str">
        <f t="shared" si="102"/>
        <v>11141153</v>
      </c>
    </row>
    <row r="188" spans="1:42" s="62" customFormat="1" ht="27.75" hidden="1" customHeight="1" thickTop="1" thickBot="1" x14ac:dyDescent="0.3">
      <c r="A188" s="56" t="s">
        <v>22</v>
      </c>
      <c r="B188" s="56" t="s">
        <v>22</v>
      </c>
      <c r="C188" s="57">
        <f t="shared" si="99"/>
        <v>1114115</v>
      </c>
      <c r="D188" s="58">
        <v>4</v>
      </c>
      <c r="E188" s="59" t="str">
        <f t="shared" si="100"/>
        <v>IMMOBILISATION CORPORELLE</v>
      </c>
      <c r="F188" s="60" t="e">
        <f>SUMIFS([49]mensuel_section_article1!$E$3:$E$962,[49]mensuel_section_article1!$B$3:$B$962,C188,[49]mensuel_section_article1!$C$3:$C$962,D188)</f>
        <v>#VALUE!</v>
      </c>
      <c r="G188" s="60" t="e">
        <f>SUMIFS([49]mensuel_section_article1!$G$3:$G$962,[49]mensuel_section_article1!$B$3:$B$962,C188,[49]mensuel_section_article1!$C$3:$C$962,D188)</f>
        <v>#VALUE!</v>
      </c>
      <c r="H188" s="60">
        <v>0</v>
      </c>
      <c r="I188" s="60">
        <v>0</v>
      </c>
      <c r="J188" s="60">
        <v>0</v>
      </c>
      <c r="K188" s="60">
        <f t="shared" si="101"/>
        <v>0</v>
      </c>
      <c r="L188" s="61" t="e">
        <f>IF(F188&lt;&gt;0,K188/F188,0)</f>
        <v>#VALUE!</v>
      </c>
      <c r="M188" s="60" t="e">
        <f>+SUMIFS([51]section_article!$H$10:$H$936,[51]section_article!$C$10:$C$936,C188,[51]section_article!$D$10:$D$936,D188)</f>
        <v>#VALUE!</v>
      </c>
      <c r="N188" s="24" t="e">
        <f t="shared" si="103"/>
        <v>#VALUE!</v>
      </c>
      <c r="O188" s="9"/>
      <c r="Q188" s="63"/>
      <c r="AJ188" s="64"/>
      <c r="AK188" s="64"/>
      <c r="AL188" s="64"/>
      <c r="AM188" s="64"/>
      <c r="AN188" s="64"/>
      <c r="AO188" s="11">
        <v>1114115</v>
      </c>
      <c r="AP188" s="65" t="str">
        <f t="shared" si="102"/>
        <v>11141154</v>
      </c>
    </row>
    <row r="189" spans="1:42" s="62" customFormat="1" ht="27.75" hidden="1" customHeight="1" thickTop="1" thickBot="1" x14ac:dyDescent="0.3">
      <c r="A189" s="56" t="s">
        <v>22</v>
      </c>
      <c r="B189" s="56" t="s">
        <v>22</v>
      </c>
      <c r="C189" s="57">
        <f t="shared" si="99"/>
        <v>1114115</v>
      </c>
      <c r="D189" s="58">
        <v>5</v>
      </c>
      <c r="E189" s="59" t="str">
        <f t="shared" si="100"/>
        <v>IMMOBILISATION INCORPORELLE</v>
      </c>
      <c r="F189" s="60" t="e">
        <f>SUMIFS([49]mensuel_section_article1!$E$3:$E$962,[49]mensuel_section_article1!$B$3:$B$962,C189,[49]mensuel_section_article1!$C$3:$C$962,D189)</f>
        <v>#VALUE!</v>
      </c>
      <c r="G189" s="60" t="e">
        <f>SUMIFS([49]mensuel_section_article1!$G$3:$G$962,[49]mensuel_section_article1!$B$3:$B$962,C189,[49]mensuel_section_article1!$C$3:$C$962,D189)</f>
        <v>#VALUE!</v>
      </c>
      <c r="H189" s="60">
        <v>0</v>
      </c>
      <c r="I189" s="60">
        <v>0</v>
      </c>
      <c r="J189" s="60">
        <v>0</v>
      </c>
      <c r="K189" s="60">
        <f t="shared" si="101"/>
        <v>0</v>
      </c>
      <c r="L189" s="61" t="e">
        <f>IF(F189&lt;&gt;0,K189/F189,0)</f>
        <v>#VALUE!</v>
      </c>
      <c r="M189" s="60" t="e">
        <f>+SUMIFS([51]section_article!$H$10:$H$936,[51]section_article!$C$10:$C$936,C189,[51]section_article!$D$10:$D$936,D189)</f>
        <v>#VALUE!</v>
      </c>
      <c r="N189" s="24" t="e">
        <f t="shared" si="103"/>
        <v>#VALUE!</v>
      </c>
      <c r="O189" s="9"/>
      <c r="Q189" s="63"/>
      <c r="AJ189" s="64"/>
      <c r="AK189" s="64"/>
      <c r="AL189" s="64"/>
      <c r="AM189" s="64"/>
      <c r="AN189" s="64"/>
      <c r="AO189" s="11">
        <v>1114115</v>
      </c>
      <c r="AP189" s="65" t="str">
        <f t="shared" si="102"/>
        <v>11141155</v>
      </c>
    </row>
    <row r="190" spans="1:42" s="62" customFormat="1" ht="27.75" hidden="1" customHeight="1" thickTop="1" thickBot="1" x14ac:dyDescent="0.3">
      <c r="A190" s="56" t="s">
        <v>22</v>
      </c>
      <c r="B190" s="56" t="s">
        <v>22</v>
      </c>
      <c r="C190" s="57">
        <f t="shared" si="99"/>
        <v>1114115</v>
      </c>
      <c r="D190" s="58">
        <v>7</v>
      </c>
      <c r="E190" s="59" t="str">
        <f t="shared" si="100"/>
        <v>SUBVENTIONS,QUOTES-PARTS ET CONTRIB.,ALLOC, INDEMNISATIONS</v>
      </c>
      <c r="F190" s="60" t="e">
        <f>SUMIFS([49]mensuel_section_article1!$E$3:$E$962,[49]mensuel_section_article1!$B$3:$B$962,C190,[49]mensuel_section_article1!$C$3:$C$962,D190)</f>
        <v>#VALUE!</v>
      </c>
      <c r="G190" s="60" t="e">
        <f>SUMIFS([49]mensuel_section_article1!$G$3:$G$962,[49]mensuel_section_article1!$B$3:$B$962,C190,[49]mensuel_section_article1!$C$3:$C$962,D190)</f>
        <v>#VALUE!</v>
      </c>
      <c r="H190" s="60">
        <v>0</v>
      </c>
      <c r="I190" s="60">
        <v>0</v>
      </c>
      <c r="J190" s="60">
        <v>0</v>
      </c>
      <c r="K190" s="60">
        <f t="shared" si="101"/>
        <v>0</v>
      </c>
      <c r="L190" s="61" t="e">
        <f>IF(F190&lt;&gt;0,K190/F190,0)</f>
        <v>#VALUE!</v>
      </c>
      <c r="M190" s="60" t="e">
        <f>+SUMIFS([51]section_article!$H$10:$H$936,[51]section_article!$C$10:$C$936,C190,[51]section_article!$D$10:$D$936,D190)</f>
        <v>#VALUE!</v>
      </c>
      <c r="N190" s="24" t="e">
        <f t="shared" si="103"/>
        <v>#VALUE!</v>
      </c>
      <c r="O190" s="9"/>
      <c r="Q190" s="63"/>
      <c r="AJ190" s="64"/>
      <c r="AK190" s="64"/>
      <c r="AL190" s="64"/>
      <c r="AM190" s="64"/>
      <c r="AN190" s="64"/>
      <c r="AO190" s="11">
        <v>1114115</v>
      </c>
      <c r="AP190" s="65" t="str">
        <f t="shared" si="102"/>
        <v>11141157</v>
      </c>
    </row>
    <row r="191" spans="1:42" s="62" customFormat="1" ht="27.75" hidden="1" customHeight="1" thickTop="1" thickBot="1" x14ac:dyDescent="0.3">
      <c r="A191" s="56" t="s">
        <v>22</v>
      </c>
      <c r="B191" s="56" t="s">
        <v>22</v>
      </c>
      <c r="C191" s="57">
        <f t="shared" si="99"/>
        <v>1114115</v>
      </c>
      <c r="D191" s="58">
        <v>9</v>
      </c>
      <c r="E191" s="59" t="str">
        <f t="shared" si="100"/>
        <v>AUTRES DEPENSES PUBLIQUES</v>
      </c>
      <c r="F191" s="60" t="e">
        <f>SUMIFS([49]mensuel_section_article1!$E$3:$E$962,[49]mensuel_section_article1!$B$3:$B$962,C191,[49]mensuel_section_article1!$C$3:$C$962,D191)</f>
        <v>#VALUE!</v>
      </c>
      <c r="G191" s="60" t="e">
        <f>SUMIFS([49]mensuel_section_article1!$G$3:$G$962,[49]mensuel_section_article1!$B$3:$B$962,C191,[49]mensuel_section_article1!$C$3:$C$962,D191)</f>
        <v>#VALUE!</v>
      </c>
      <c r="H191" s="60">
        <v>0</v>
      </c>
      <c r="I191" s="60">
        <v>0</v>
      </c>
      <c r="J191" s="60">
        <v>0</v>
      </c>
      <c r="K191" s="60">
        <f t="shared" si="101"/>
        <v>0</v>
      </c>
      <c r="L191" s="61" t="e">
        <f>IF(F191&lt;&gt;0,K191/F191,0)</f>
        <v>#VALUE!</v>
      </c>
      <c r="M191" s="60" t="e">
        <f>+SUMIFS([51]section_article!$H$10:$H$936,[51]section_article!$C$10:$C$936,C191,[51]section_article!$D$10:$D$936,D191)</f>
        <v>#VALUE!</v>
      </c>
      <c r="N191" s="24" t="e">
        <f t="shared" si="103"/>
        <v>#VALUE!</v>
      </c>
      <c r="O191" s="9"/>
      <c r="Q191" s="63"/>
      <c r="AJ191" s="64"/>
      <c r="AK191" s="64"/>
      <c r="AL191" s="64"/>
      <c r="AM191" s="64"/>
      <c r="AN191" s="64"/>
      <c r="AO191" s="11">
        <v>1114115</v>
      </c>
      <c r="AP191" s="65" t="str">
        <f t="shared" si="102"/>
        <v>11141159</v>
      </c>
    </row>
    <row r="192" spans="1:42" s="1" customFormat="1" ht="27.75" customHeight="1" thickTop="1" thickBot="1" x14ac:dyDescent="0.3">
      <c r="A192" s="84" t="s">
        <v>20</v>
      </c>
      <c r="B192" s="84" t="s">
        <v>20</v>
      </c>
      <c r="C192" s="84" t="s">
        <v>20</v>
      </c>
      <c r="D192" s="51">
        <v>1114116</v>
      </c>
      <c r="E192" s="67" t="s">
        <v>45</v>
      </c>
      <c r="F192" s="68" t="e">
        <f>SUMIF($B$193:$B$199,"article",F193:F199)</f>
        <v>#VALUE!</v>
      </c>
      <c r="G192" s="68" t="e">
        <f>SUMIF($B$193:$B$199,"article",G193:G199)</f>
        <v>#VALUE!</v>
      </c>
      <c r="H192" s="68">
        <f>SUMIF($B$193:$B$199,"article",H193:H199)</f>
        <v>61999951.878000006</v>
      </c>
      <c r="I192" s="68">
        <v>61999951.899999999</v>
      </c>
      <c r="J192" s="68">
        <f>SUMIF($B$193:$B$199,"article",J193:J199)</f>
        <v>59263292.270000003</v>
      </c>
      <c r="K192" s="68">
        <f>SUMIF($B$193:$B$199,"article",K193:K199)</f>
        <v>2736659.6079999991</v>
      </c>
      <c r="L192" s="69">
        <f>+J192/H192</f>
        <v>0.95586029464369515</v>
      </c>
      <c r="M192" s="68"/>
      <c r="N192" s="68"/>
      <c r="O192" s="9"/>
      <c r="Q192" s="23"/>
      <c r="AJ192" s="70"/>
      <c r="AK192" s="70"/>
      <c r="AL192" s="70"/>
      <c r="AM192" s="70"/>
      <c r="AN192" s="70"/>
      <c r="AO192" s="11">
        <v>1114116</v>
      </c>
    </row>
    <row r="193" spans="1:42" s="62" customFormat="1" ht="27.75" customHeight="1" thickTop="1" thickBot="1" x14ac:dyDescent="0.3">
      <c r="A193" s="56" t="s">
        <v>22</v>
      </c>
      <c r="B193" s="56" t="s">
        <v>22</v>
      </c>
      <c r="C193" s="57">
        <f t="shared" ref="C193:C199" si="104">IF(A192="SECTION",D192,C192)</f>
        <v>1114116</v>
      </c>
      <c r="D193" s="58">
        <v>1</v>
      </c>
      <c r="E193" s="59" t="str">
        <f t="shared" ref="E193:E199" si="105">IF(D193=1, "DEPENSES DE PERSONNEL",  +IF(D193=2,"DEPENSES DE SERVICES ET CHARGES DIVERSES", +IF(D193=3,"ACHATS DE BIENS DE CONSOMMATION ET PETITS MATERIELS",+IF(D193=4,"IMMOBILISATION CORPORELLE",+IF(D193=5,"IMMOBILISATION INCORPORELLE",+IF(D193=7,"SUBVENTIONS,QUOTES-PARTS ET CONTRIB.,ALLOC, INDEMNISATIONS",+IF(D193=8,"AMORTISSEMENT DE LA DETTE",+IF(D193=9,"AUTRES DEPENSES PUBLIQUES",0))))))))</f>
        <v>DEPENSES DE PERSONNEL</v>
      </c>
      <c r="F193" s="60" t="e">
        <f>SUMIFS([49]mensuel_section_article1!$E$3:$E$962,[49]mensuel_section_article1!$B$3:$B$962,C193,[49]mensuel_section_article1!$C$3:$C$962,D193)</f>
        <v>#VALUE!</v>
      </c>
      <c r="G193" s="60" t="e">
        <f>SUMIFS([49]mensuel_section_article1!$G$3:$G$962,[49]mensuel_section_article1!$B$3:$B$962,C193,[49]mensuel_section_article1!$C$3:$C$962,D193)</f>
        <v>#VALUE!</v>
      </c>
      <c r="H193" s="60">
        <v>48350615.960000001</v>
      </c>
      <c r="I193" s="60">
        <v>48350616</v>
      </c>
      <c r="J193" s="60">
        <v>46110658.270000003</v>
      </c>
      <c r="K193" s="60">
        <f t="shared" ref="K193:K199" si="106">+H193-J193</f>
        <v>2239957.6899999976</v>
      </c>
      <c r="L193" s="61">
        <f>+J193/H193</f>
        <v>0.95367261315030416</v>
      </c>
      <c r="M193" s="60"/>
      <c r="N193" s="24"/>
      <c r="O193" s="9"/>
      <c r="Q193" s="63"/>
      <c r="AJ193" s="64"/>
      <c r="AK193" s="64"/>
      <c r="AL193" s="64"/>
      <c r="AM193" s="64"/>
      <c r="AN193" s="64"/>
      <c r="AO193" s="11">
        <v>1114116</v>
      </c>
      <c r="AP193" s="65" t="str">
        <f t="shared" ref="AP193:AP199" si="107">CONCATENATE(AO193,D193)</f>
        <v>11141161</v>
      </c>
    </row>
    <row r="194" spans="1:42" s="62" customFormat="1" ht="27.75" customHeight="1" thickTop="1" thickBot="1" x14ac:dyDescent="0.3">
      <c r="A194" s="56" t="s">
        <v>22</v>
      </c>
      <c r="B194" s="56" t="s">
        <v>22</v>
      </c>
      <c r="C194" s="57">
        <f t="shared" si="104"/>
        <v>1114116</v>
      </c>
      <c r="D194" s="58">
        <v>2</v>
      </c>
      <c r="E194" s="59" t="str">
        <f t="shared" si="105"/>
        <v>DEPENSES DE SERVICES ET CHARGES DIVERSES</v>
      </c>
      <c r="F194" s="60" t="e">
        <f>SUMIFS([49]mensuel_section_article1!$E$3:$E$962,[49]mensuel_section_article1!$B$3:$B$962,C194,[49]mensuel_section_article1!$C$3:$C$962,D194)</f>
        <v>#VALUE!</v>
      </c>
      <c r="G194" s="60" t="e">
        <f>SUMIFS([49]mensuel_section_article1!$G$3:$G$962,[49]mensuel_section_article1!$B$3:$B$962,C194,[49]mensuel_section_article1!$C$3:$C$962,D194)</f>
        <v>#VALUE!</v>
      </c>
      <c r="H194" s="60">
        <v>13649335.918000001</v>
      </c>
      <c r="I194" s="60">
        <v>13649335.9</v>
      </c>
      <c r="J194" s="60">
        <v>13152634</v>
      </c>
      <c r="K194" s="60">
        <f t="shared" si="106"/>
        <v>496701.91800000146</v>
      </c>
      <c r="L194" s="61">
        <f>+J194/H194</f>
        <v>0.9636098106908646</v>
      </c>
      <c r="M194" s="60"/>
      <c r="N194" s="24"/>
      <c r="O194" s="9"/>
      <c r="Q194" s="63"/>
      <c r="AJ194" s="64"/>
      <c r="AK194" s="64"/>
      <c r="AL194" s="64"/>
      <c r="AM194" s="64"/>
      <c r="AN194" s="64"/>
      <c r="AO194" s="11">
        <v>1114116</v>
      </c>
      <c r="AP194" s="65" t="str">
        <f t="shared" si="107"/>
        <v>11141162</v>
      </c>
    </row>
    <row r="195" spans="1:42" s="62" customFormat="1" ht="27.75" hidden="1" customHeight="1" thickTop="1" thickBot="1" x14ac:dyDescent="0.3">
      <c r="A195" s="56" t="s">
        <v>22</v>
      </c>
      <c r="B195" s="56" t="s">
        <v>22</v>
      </c>
      <c r="C195" s="57">
        <f t="shared" si="104"/>
        <v>1114116</v>
      </c>
      <c r="D195" s="58">
        <v>3</v>
      </c>
      <c r="E195" s="59" t="str">
        <f t="shared" si="105"/>
        <v>ACHATS DE BIENS DE CONSOMMATION ET PETITS MATERIELS</v>
      </c>
      <c r="F195" s="60" t="e">
        <f>SUMIFS([49]mensuel_section_article1!$E$3:$E$962,[49]mensuel_section_article1!$B$3:$B$962,C195,[49]mensuel_section_article1!$C$3:$C$962,D195)</f>
        <v>#VALUE!</v>
      </c>
      <c r="G195" s="60" t="e">
        <f>SUMIFS([49]mensuel_section_article1!$G$3:$G$962,[49]mensuel_section_article1!$B$3:$B$962,C195,[49]mensuel_section_article1!$C$3:$C$962,D195)</f>
        <v>#VALUE!</v>
      </c>
      <c r="H195" s="60">
        <v>0</v>
      </c>
      <c r="I195" s="60">
        <v>0</v>
      </c>
      <c r="J195" s="60">
        <v>0</v>
      </c>
      <c r="K195" s="60">
        <f t="shared" si="106"/>
        <v>0</v>
      </c>
      <c r="L195" s="61" t="e">
        <f>IF(F195&lt;&gt;0,K195/F195,0)</f>
        <v>#VALUE!</v>
      </c>
      <c r="M195" s="60" t="e">
        <f>+SUMIFS([51]section_article!$H$10:$H$936,[51]section_article!$C$10:$C$936,C195,[51]section_article!$D$10:$D$936,D195)</f>
        <v>#VALUE!</v>
      </c>
      <c r="N195" s="24" t="e">
        <f t="shared" ref="N193:N199" si="108">+J195-M195</f>
        <v>#VALUE!</v>
      </c>
      <c r="O195" s="9"/>
      <c r="Q195" s="63"/>
      <c r="AJ195" s="64"/>
      <c r="AK195" s="64"/>
      <c r="AL195" s="64"/>
      <c r="AM195" s="64"/>
      <c r="AN195" s="64"/>
      <c r="AO195" s="11">
        <v>1114116</v>
      </c>
      <c r="AP195" s="65" t="str">
        <f t="shared" si="107"/>
        <v>11141163</v>
      </c>
    </row>
    <row r="196" spans="1:42" s="62" customFormat="1" ht="27.75" hidden="1" customHeight="1" thickTop="1" thickBot="1" x14ac:dyDescent="0.3">
      <c r="A196" s="56" t="s">
        <v>22</v>
      </c>
      <c r="B196" s="56" t="s">
        <v>22</v>
      </c>
      <c r="C196" s="57">
        <f t="shared" si="104"/>
        <v>1114116</v>
      </c>
      <c r="D196" s="58">
        <v>4</v>
      </c>
      <c r="E196" s="59" t="str">
        <f t="shared" si="105"/>
        <v>IMMOBILISATION CORPORELLE</v>
      </c>
      <c r="F196" s="60" t="e">
        <f>SUMIFS([49]mensuel_section_article1!$E$3:$E$962,[49]mensuel_section_article1!$B$3:$B$962,C196,[49]mensuel_section_article1!$C$3:$C$962,D196)</f>
        <v>#VALUE!</v>
      </c>
      <c r="G196" s="60" t="e">
        <f>SUMIFS([49]mensuel_section_article1!$G$3:$G$962,[49]mensuel_section_article1!$B$3:$B$962,C196,[49]mensuel_section_article1!$C$3:$C$962,D196)</f>
        <v>#VALUE!</v>
      </c>
      <c r="H196" s="60">
        <v>0</v>
      </c>
      <c r="I196" s="60">
        <v>0</v>
      </c>
      <c r="J196" s="60">
        <v>0</v>
      </c>
      <c r="K196" s="60">
        <f t="shared" si="106"/>
        <v>0</v>
      </c>
      <c r="L196" s="61" t="e">
        <f>IF(F196&lt;&gt;0,K196/F196,0)</f>
        <v>#VALUE!</v>
      </c>
      <c r="M196" s="60" t="e">
        <f>+SUMIFS([51]section_article!$H$10:$H$936,[51]section_article!$C$10:$C$936,C196,[51]section_article!$D$10:$D$936,D196)</f>
        <v>#VALUE!</v>
      </c>
      <c r="N196" s="24" t="e">
        <f t="shared" si="108"/>
        <v>#VALUE!</v>
      </c>
      <c r="O196" s="9"/>
      <c r="Q196" s="63"/>
      <c r="AJ196" s="64"/>
      <c r="AK196" s="64"/>
      <c r="AL196" s="64"/>
      <c r="AM196" s="64"/>
      <c r="AN196" s="64"/>
      <c r="AO196" s="11">
        <v>1114116</v>
      </c>
      <c r="AP196" s="65" t="str">
        <f t="shared" si="107"/>
        <v>11141164</v>
      </c>
    </row>
    <row r="197" spans="1:42" s="62" customFormat="1" ht="27.75" hidden="1" customHeight="1" thickTop="1" thickBot="1" x14ac:dyDescent="0.3">
      <c r="A197" s="56" t="s">
        <v>22</v>
      </c>
      <c r="B197" s="56" t="s">
        <v>22</v>
      </c>
      <c r="C197" s="57">
        <f t="shared" si="104"/>
        <v>1114116</v>
      </c>
      <c r="D197" s="58">
        <v>5</v>
      </c>
      <c r="E197" s="59" t="str">
        <f t="shared" si="105"/>
        <v>IMMOBILISATION INCORPORELLE</v>
      </c>
      <c r="F197" s="60" t="e">
        <f>SUMIFS([49]mensuel_section_article1!$E$3:$E$962,[49]mensuel_section_article1!$B$3:$B$962,C197,[49]mensuel_section_article1!$C$3:$C$962,D197)</f>
        <v>#VALUE!</v>
      </c>
      <c r="G197" s="60" t="e">
        <f>SUMIFS([49]mensuel_section_article1!$G$3:$G$962,[49]mensuel_section_article1!$B$3:$B$962,C197,[49]mensuel_section_article1!$C$3:$C$962,D197)</f>
        <v>#VALUE!</v>
      </c>
      <c r="H197" s="60">
        <v>0</v>
      </c>
      <c r="I197" s="60">
        <v>0</v>
      </c>
      <c r="J197" s="60">
        <v>0</v>
      </c>
      <c r="K197" s="60">
        <f t="shared" si="106"/>
        <v>0</v>
      </c>
      <c r="L197" s="61" t="e">
        <f>IF(F197&lt;&gt;0,K197/F197,0)</f>
        <v>#VALUE!</v>
      </c>
      <c r="M197" s="60" t="e">
        <f>+SUMIFS([51]section_article!$H$10:$H$936,[51]section_article!$C$10:$C$936,C197,[51]section_article!$D$10:$D$936,D197)</f>
        <v>#VALUE!</v>
      </c>
      <c r="N197" s="24" t="e">
        <f t="shared" si="108"/>
        <v>#VALUE!</v>
      </c>
      <c r="O197" s="9"/>
      <c r="Q197" s="63"/>
      <c r="AJ197" s="64"/>
      <c r="AK197" s="64"/>
      <c r="AL197" s="64"/>
      <c r="AM197" s="64"/>
      <c r="AN197" s="64"/>
      <c r="AO197" s="11">
        <v>1114116</v>
      </c>
      <c r="AP197" s="65" t="str">
        <f t="shared" si="107"/>
        <v>11141165</v>
      </c>
    </row>
    <row r="198" spans="1:42" s="62" customFormat="1" ht="27.75" hidden="1" customHeight="1" thickTop="1" thickBot="1" x14ac:dyDescent="0.3">
      <c r="A198" s="56" t="s">
        <v>22</v>
      </c>
      <c r="B198" s="56" t="s">
        <v>22</v>
      </c>
      <c r="C198" s="57">
        <f t="shared" si="104"/>
        <v>1114116</v>
      </c>
      <c r="D198" s="58">
        <v>7</v>
      </c>
      <c r="E198" s="59" t="str">
        <f t="shared" si="105"/>
        <v>SUBVENTIONS,QUOTES-PARTS ET CONTRIB.,ALLOC, INDEMNISATIONS</v>
      </c>
      <c r="F198" s="60" t="e">
        <f>SUMIFS([49]mensuel_section_article1!$E$3:$E$962,[49]mensuel_section_article1!$B$3:$B$962,C198,[49]mensuel_section_article1!$C$3:$C$962,D198)</f>
        <v>#VALUE!</v>
      </c>
      <c r="G198" s="60" t="e">
        <f>SUMIFS([49]mensuel_section_article1!$G$3:$G$962,[49]mensuel_section_article1!$B$3:$B$962,C198,[49]mensuel_section_article1!$C$3:$C$962,D198)</f>
        <v>#VALUE!</v>
      </c>
      <c r="H198" s="60">
        <v>0</v>
      </c>
      <c r="I198" s="60">
        <v>0</v>
      </c>
      <c r="J198" s="60">
        <v>0</v>
      </c>
      <c r="K198" s="60">
        <f t="shared" si="106"/>
        <v>0</v>
      </c>
      <c r="L198" s="61" t="e">
        <f>IF(F198&lt;&gt;0,K198/F198,0)</f>
        <v>#VALUE!</v>
      </c>
      <c r="M198" s="60" t="e">
        <f>+SUMIFS([51]section_article!$H$10:$H$936,[51]section_article!$C$10:$C$936,C198,[51]section_article!$D$10:$D$936,D198)</f>
        <v>#VALUE!</v>
      </c>
      <c r="N198" s="24" t="e">
        <f t="shared" si="108"/>
        <v>#VALUE!</v>
      </c>
      <c r="O198" s="9"/>
      <c r="Q198" s="63"/>
      <c r="AJ198" s="64"/>
      <c r="AK198" s="64"/>
      <c r="AL198" s="64"/>
      <c r="AM198" s="64"/>
      <c r="AN198" s="64"/>
      <c r="AO198" s="11">
        <v>1114116</v>
      </c>
      <c r="AP198" s="65" t="str">
        <f t="shared" si="107"/>
        <v>11141167</v>
      </c>
    </row>
    <row r="199" spans="1:42" s="62" customFormat="1" ht="27.75" hidden="1" customHeight="1" thickTop="1" thickBot="1" x14ac:dyDescent="0.3">
      <c r="A199" s="56" t="s">
        <v>22</v>
      </c>
      <c r="B199" s="56" t="s">
        <v>22</v>
      </c>
      <c r="C199" s="57">
        <f t="shared" si="104"/>
        <v>1114116</v>
      </c>
      <c r="D199" s="58">
        <v>9</v>
      </c>
      <c r="E199" s="59" t="str">
        <f t="shared" si="105"/>
        <v>AUTRES DEPENSES PUBLIQUES</v>
      </c>
      <c r="F199" s="60" t="e">
        <f>SUMIFS([49]mensuel_section_article1!$E$3:$E$962,[49]mensuel_section_article1!$B$3:$B$962,C199,[49]mensuel_section_article1!$C$3:$C$962,D199)</f>
        <v>#VALUE!</v>
      </c>
      <c r="G199" s="60" t="e">
        <f>SUMIFS([49]mensuel_section_article1!$G$3:$G$962,[49]mensuel_section_article1!$B$3:$B$962,C199,[49]mensuel_section_article1!$C$3:$C$962,D199)</f>
        <v>#VALUE!</v>
      </c>
      <c r="H199" s="60">
        <v>0</v>
      </c>
      <c r="I199" s="60">
        <v>0</v>
      </c>
      <c r="J199" s="60">
        <v>0</v>
      </c>
      <c r="K199" s="60">
        <f t="shared" si="106"/>
        <v>0</v>
      </c>
      <c r="L199" s="61" t="e">
        <f>IF(F199&lt;&gt;0,K199/F199,0)</f>
        <v>#VALUE!</v>
      </c>
      <c r="M199" s="60" t="e">
        <f>+SUMIFS([51]section_article!$H$10:$H$936,[51]section_article!$C$10:$C$936,C199,[51]section_article!$D$10:$D$936,D199)</f>
        <v>#VALUE!</v>
      </c>
      <c r="N199" s="24" t="e">
        <f t="shared" si="108"/>
        <v>#VALUE!</v>
      </c>
      <c r="O199" s="9"/>
      <c r="Q199" s="63"/>
      <c r="AJ199" s="64"/>
      <c r="AK199" s="64"/>
      <c r="AL199" s="64"/>
      <c r="AM199" s="64"/>
      <c r="AN199" s="64"/>
      <c r="AO199" s="11">
        <v>1114116</v>
      </c>
      <c r="AP199" s="65" t="str">
        <f t="shared" si="107"/>
        <v>11141169</v>
      </c>
    </row>
    <row r="200" spans="1:42" s="1" customFormat="1" ht="27.75" customHeight="1" thickTop="1" thickBot="1" x14ac:dyDescent="0.3">
      <c r="A200" s="56" t="s">
        <v>20</v>
      </c>
      <c r="B200" s="56" t="s">
        <v>20</v>
      </c>
      <c r="C200" s="56" t="s">
        <v>20</v>
      </c>
      <c r="D200" s="51">
        <v>1114117</v>
      </c>
      <c r="E200" s="67" t="s">
        <v>46</v>
      </c>
      <c r="F200" s="68" t="e">
        <f>SUMIF($B$201:$B$207,"article",F201:F207)</f>
        <v>#VALUE!</v>
      </c>
      <c r="G200" s="68" t="e">
        <f>SUMIF($B$201:$B$207,"article",G201:G207)</f>
        <v>#VALUE!</v>
      </c>
      <c r="H200" s="68">
        <f>SUMIF($B$201:$B$207,"article",H201:H207)</f>
        <v>35000000.038000003</v>
      </c>
      <c r="I200" s="68">
        <v>35000000</v>
      </c>
      <c r="J200" s="68">
        <f>SUMIF($B$201:$B$207,"article",J201:J207)</f>
        <v>34939640</v>
      </c>
      <c r="K200" s="68">
        <f>SUMIF($B$201:$B$207,"article",K201:K207)</f>
        <v>60360.037999998778</v>
      </c>
      <c r="L200" s="69">
        <f>+J200/H200</f>
        <v>0.99827542748758658</v>
      </c>
      <c r="M200" s="68"/>
      <c r="N200" s="68"/>
      <c r="O200" s="9"/>
      <c r="Q200" s="23"/>
      <c r="AJ200" s="70"/>
      <c r="AK200" s="70"/>
      <c r="AL200" s="70"/>
      <c r="AM200" s="70"/>
      <c r="AN200" s="70"/>
      <c r="AO200" s="11">
        <v>1114117</v>
      </c>
    </row>
    <row r="201" spans="1:42" s="62" customFormat="1" ht="27.75" customHeight="1" thickTop="1" thickBot="1" x14ac:dyDescent="0.3">
      <c r="A201" s="56" t="s">
        <v>22</v>
      </c>
      <c r="B201" s="56" t="s">
        <v>22</v>
      </c>
      <c r="C201" s="57">
        <f t="shared" ref="C201:C207" si="109">IF(A200="SECTION",D200,C200)</f>
        <v>1114117</v>
      </c>
      <c r="D201" s="58">
        <v>1</v>
      </c>
      <c r="E201" s="59" t="str">
        <f t="shared" ref="E201:E207" si="110">IF(D201=1, "DEPENSES DE PERSONNEL",  +IF(D201=2,"DEPENSES DE SERVICES ET CHARGES DIVERSES", +IF(D201=3,"ACHATS DE BIENS DE CONSOMMATION ET PETITS MATERIELS",+IF(D201=4,"IMMOBILISATION CORPORELLE",+IF(D201=5,"IMMOBILISATION INCORPORELLE",+IF(D201=7,"SUBVENTIONS,QUOTES-PARTS ET CONTRIB.,ALLOC, INDEMNISATIONS",+IF(D201=8,"AMORTISSEMENT DE LA DETTE",+IF(D201=9,"AUTRES DEPENSES PUBLIQUES",0))))))))</f>
        <v>DEPENSES DE PERSONNEL</v>
      </c>
      <c r="F201" s="60" t="e">
        <f>SUMIFS([49]mensuel_section_article1!$E$3:$E$962,[49]mensuel_section_article1!$B$3:$B$962,C201,[49]mensuel_section_article1!$C$3:$C$962,D201)</f>
        <v>#VALUE!</v>
      </c>
      <c r="G201" s="60" t="e">
        <f>SUMIFS([49]mensuel_section_article1!$G$3:$G$962,[49]mensuel_section_article1!$B$3:$B$962,C201,[49]mensuel_section_article1!$C$3:$C$962,D201)</f>
        <v>#VALUE!</v>
      </c>
      <c r="H201" s="60">
        <v>19217409.999999996</v>
      </c>
      <c r="I201" s="60">
        <v>19217410.000000004</v>
      </c>
      <c r="J201" s="60">
        <v>19157050</v>
      </c>
      <c r="K201" s="60">
        <f t="shared" ref="K201:K207" si="111">+H201-J201</f>
        <v>60359.999999996275</v>
      </c>
      <c r="L201" s="61">
        <f>+J201/H201</f>
        <v>0.99685909807825324</v>
      </c>
      <c r="M201" s="60"/>
      <c r="N201" s="24"/>
      <c r="O201" s="9"/>
      <c r="Q201" s="63"/>
      <c r="AJ201" s="64"/>
      <c r="AK201" s="64"/>
      <c r="AL201" s="64"/>
      <c r="AM201" s="64"/>
      <c r="AN201" s="64"/>
      <c r="AO201" s="11">
        <v>1114117</v>
      </c>
      <c r="AP201" s="65" t="str">
        <f t="shared" ref="AP201:AP207" si="112">CONCATENATE(AO201,D201)</f>
        <v>11141171</v>
      </c>
    </row>
    <row r="202" spans="1:42" s="62" customFormat="1" ht="27.75" customHeight="1" thickTop="1" thickBot="1" x14ac:dyDescent="0.3">
      <c r="A202" s="56" t="s">
        <v>22</v>
      </c>
      <c r="B202" s="56" t="s">
        <v>22</v>
      </c>
      <c r="C202" s="57">
        <f t="shared" si="109"/>
        <v>1114117</v>
      </c>
      <c r="D202" s="58">
        <v>2</v>
      </c>
      <c r="E202" s="59" t="str">
        <f t="shared" si="110"/>
        <v>DEPENSES DE SERVICES ET CHARGES DIVERSES</v>
      </c>
      <c r="F202" s="60" t="e">
        <f>SUMIFS([49]mensuel_section_article1!$E$3:$E$962,[49]mensuel_section_article1!$B$3:$B$962,C202,[49]mensuel_section_article1!$C$3:$C$962,D202)</f>
        <v>#VALUE!</v>
      </c>
      <c r="G202" s="60" t="e">
        <f>SUMIFS([49]mensuel_section_article1!$G$3:$G$962,[49]mensuel_section_article1!$B$3:$B$962,C202,[49]mensuel_section_article1!$C$3:$C$962,D202)</f>
        <v>#VALUE!</v>
      </c>
      <c r="H202" s="60">
        <v>15782590.038000003</v>
      </c>
      <c r="I202" s="60">
        <v>15782590</v>
      </c>
      <c r="J202" s="60">
        <v>15782590</v>
      </c>
      <c r="K202" s="60">
        <f t="shared" si="111"/>
        <v>3.8000002503395081E-2</v>
      </c>
      <c r="L202" s="61">
        <f>+J202/H202</f>
        <v>0.99999999759228353</v>
      </c>
      <c r="M202" s="60"/>
      <c r="N202" s="24"/>
      <c r="O202" s="9"/>
      <c r="Q202" s="63"/>
      <c r="AJ202" s="64"/>
      <c r="AK202" s="64"/>
      <c r="AL202" s="64"/>
      <c r="AM202" s="64"/>
      <c r="AN202" s="64"/>
      <c r="AO202" s="11">
        <v>1114117</v>
      </c>
      <c r="AP202" s="65" t="str">
        <f t="shared" si="112"/>
        <v>11141172</v>
      </c>
    </row>
    <row r="203" spans="1:42" s="62" customFormat="1" ht="27.75" hidden="1" customHeight="1" thickTop="1" thickBot="1" x14ac:dyDescent="0.3">
      <c r="A203" s="56" t="s">
        <v>22</v>
      </c>
      <c r="B203" s="56" t="s">
        <v>22</v>
      </c>
      <c r="C203" s="57">
        <f t="shared" si="109"/>
        <v>1114117</v>
      </c>
      <c r="D203" s="58">
        <v>3</v>
      </c>
      <c r="E203" s="59" t="str">
        <f t="shared" si="110"/>
        <v>ACHATS DE BIENS DE CONSOMMATION ET PETITS MATERIELS</v>
      </c>
      <c r="F203" s="60" t="e">
        <f>SUMIFS([49]mensuel_section_article1!$E$3:$E$962,[49]mensuel_section_article1!$B$3:$B$962,C203,[49]mensuel_section_article1!$C$3:$C$962,D203)</f>
        <v>#VALUE!</v>
      </c>
      <c r="G203" s="60" t="e">
        <f>SUMIFS([49]mensuel_section_article1!$G$3:$G$962,[49]mensuel_section_article1!$B$3:$B$962,C203,[49]mensuel_section_article1!$C$3:$C$962,D203)</f>
        <v>#VALUE!</v>
      </c>
      <c r="H203" s="60">
        <v>0</v>
      </c>
      <c r="I203" s="60">
        <v>0</v>
      </c>
      <c r="J203" s="60">
        <v>0</v>
      </c>
      <c r="K203" s="60">
        <f t="shared" si="111"/>
        <v>0</v>
      </c>
      <c r="L203" s="61" t="e">
        <f>IF(F203&lt;&gt;0,K203/F203,0)</f>
        <v>#VALUE!</v>
      </c>
      <c r="M203" s="60" t="e">
        <f>+SUMIFS([51]section_article!$H$10:$H$936,[51]section_article!$C$10:$C$936,C203,[51]section_article!$D$10:$D$936,D203)</f>
        <v>#VALUE!</v>
      </c>
      <c r="N203" s="24" t="e">
        <f t="shared" ref="N201:N207" si="113">+J203-M203</f>
        <v>#VALUE!</v>
      </c>
      <c r="O203" s="9"/>
      <c r="Q203" s="63"/>
      <c r="AJ203" s="64"/>
      <c r="AK203" s="64"/>
      <c r="AL203" s="64"/>
      <c r="AM203" s="64"/>
      <c r="AN203" s="64"/>
      <c r="AO203" s="11">
        <v>1114117</v>
      </c>
      <c r="AP203" s="65" t="str">
        <f t="shared" si="112"/>
        <v>11141173</v>
      </c>
    </row>
    <row r="204" spans="1:42" s="62" customFormat="1" ht="27.75" hidden="1" customHeight="1" thickTop="1" thickBot="1" x14ac:dyDescent="0.3">
      <c r="A204" s="56" t="s">
        <v>22</v>
      </c>
      <c r="B204" s="56" t="s">
        <v>22</v>
      </c>
      <c r="C204" s="57">
        <f t="shared" si="109"/>
        <v>1114117</v>
      </c>
      <c r="D204" s="58">
        <v>4</v>
      </c>
      <c r="E204" s="59" t="str">
        <f t="shared" si="110"/>
        <v>IMMOBILISATION CORPORELLE</v>
      </c>
      <c r="F204" s="60" t="e">
        <f>SUMIFS([49]mensuel_section_article1!$E$3:$E$962,[49]mensuel_section_article1!$B$3:$B$962,C204,[49]mensuel_section_article1!$C$3:$C$962,D204)</f>
        <v>#VALUE!</v>
      </c>
      <c r="G204" s="60" t="e">
        <f>SUMIFS([49]mensuel_section_article1!$G$3:$G$962,[49]mensuel_section_article1!$B$3:$B$962,C204,[49]mensuel_section_article1!$C$3:$C$962,D204)</f>
        <v>#VALUE!</v>
      </c>
      <c r="H204" s="60">
        <v>0</v>
      </c>
      <c r="I204" s="60">
        <v>0</v>
      </c>
      <c r="J204" s="60">
        <v>0</v>
      </c>
      <c r="K204" s="60">
        <f t="shared" si="111"/>
        <v>0</v>
      </c>
      <c r="L204" s="61" t="e">
        <f>IF(F204&lt;&gt;0,K204/F204,0)</f>
        <v>#VALUE!</v>
      </c>
      <c r="M204" s="60" t="e">
        <f>+SUMIFS([51]section_article!$H$10:$H$936,[51]section_article!$C$10:$C$936,C204,[51]section_article!$D$10:$D$936,D204)</f>
        <v>#VALUE!</v>
      </c>
      <c r="N204" s="24" t="e">
        <f t="shared" si="113"/>
        <v>#VALUE!</v>
      </c>
      <c r="O204" s="9"/>
      <c r="Q204" s="63"/>
      <c r="AJ204" s="64"/>
      <c r="AK204" s="64"/>
      <c r="AL204" s="64"/>
      <c r="AM204" s="64"/>
      <c r="AN204" s="64"/>
      <c r="AO204" s="11">
        <v>1114117</v>
      </c>
      <c r="AP204" s="65" t="str">
        <f t="shared" si="112"/>
        <v>11141174</v>
      </c>
    </row>
    <row r="205" spans="1:42" s="62" customFormat="1" ht="27.75" hidden="1" customHeight="1" thickTop="1" thickBot="1" x14ac:dyDescent="0.3">
      <c r="A205" s="56" t="s">
        <v>22</v>
      </c>
      <c r="B205" s="56" t="s">
        <v>22</v>
      </c>
      <c r="C205" s="57">
        <f t="shared" si="109"/>
        <v>1114117</v>
      </c>
      <c r="D205" s="58">
        <v>5</v>
      </c>
      <c r="E205" s="59" t="str">
        <f t="shared" si="110"/>
        <v>IMMOBILISATION INCORPORELLE</v>
      </c>
      <c r="F205" s="60" t="e">
        <f>SUMIFS([49]mensuel_section_article1!$E$3:$E$962,[49]mensuel_section_article1!$B$3:$B$962,C205,[49]mensuel_section_article1!$C$3:$C$962,D205)</f>
        <v>#VALUE!</v>
      </c>
      <c r="G205" s="60" t="e">
        <f>SUMIFS([49]mensuel_section_article1!$G$3:$G$962,[49]mensuel_section_article1!$B$3:$B$962,C205,[49]mensuel_section_article1!$C$3:$C$962,D205)</f>
        <v>#VALUE!</v>
      </c>
      <c r="H205" s="60">
        <v>0</v>
      </c>
      <c r="I205" s="60">
        <v>0</v>
      </c>
      <c r="J205" s="60">
        <v>0</v>
      </c>
      <c r="K205" s="60">
        <f t="shared" si="111"/>
        <v>0</v>
      </c>
      <c r="L205" s="61" t="e">
        <f>IF(F205&lt;&gt;0,K205/F205,0)</f>
        <v>#VALUE!</v>
      </c>
      <c r="M205" s="60" t="e">
        <f>+SUMIFS([51]section_article!$H$10:$H$936,[51]section_article!$C$10:$C$936,C205,[51]section_article!$D$10:$D$936,D205)</f>
        <v>#VALUE!</v>
      </c>
      <c r="N205" s="24" t="e">
        <f t="shared" si="113"/>
        <v>#VALUE!</v>
      </c>
      <c r="O205" s="9"/>
      <c r="Q205" s="63"/>
      <c r="AJ205" s="64"/>
      <c r="AK205" s="64"/>
      <c r="AL205" s="64"/>
      <c r="AM205" s="64"/>
      <c r="AN205" s="64"/>
      <c r="AO205" s="11">
        <v>1114117</v>
      </c>
      <c r="AP205" s="65" t="str">
        <f t="shared" si="112"/>
        <v>11141175</v>
      </c>
    </row>
    <row r="206" spans="1:42" s="62" customFormat="1" ht="27.75" hidden="1" customHeight="1" thickTop="1" thickBot="1" x14ac:dyDescent="0.3">
      <c r="A206" s="56" t="s">
        <v>22</v>
      </c>
      <c r="B206" s="56" t="s">
        <v>22</v>
      </c>
      <c r="C206" s="57">
        <f t="shared" si="109"/>
        <v>1114117</v>
      </c>
      <c r="D206" s="58">
        <v>7</v>
      </c>
      <c r="E206" s="59" t="str">
        <f t="shared" si="110"/>
        <v>SUBVENTIONS,QUOTES-PARTS ET CONTRIB.,ALLOC, INDEMNISATIONS</v>
      </c>
      <c r="F206" s="60" t="e">
        <f>SUMIFS([49]mensuel_section_article1!$E$3:$E$962,[49]mensuel_section_article1!$B$3:$B$962,C206,[49]mensuel_section_article1!$C$3:$C$962,D206)</f>
        <v>#VALUE!</v>
      </c>
      <c r="G206" s="60" t="e">
        <f>SUMIFS([49]mensuel_section_article1!$G$3:$G$962,[49]mensuel_section_article1!$B$3:$B$962,C206,[49]mensuel_section_article1!$C$3:$C$962,D206)</f>
        <v>#VALUE!</v>
      </c>
      <c r="H206" s="60">
        <v>0</v>
      </c>
      <c r="I206" s="60">
        <v>0</v>
      </c>
      <c r="J206" s="60">
        <v>0</v>
      </c>
      <c r="K206" s="60">
        <f t="shared" si="111"/>
        <v>0</v>
      </c>
      <c r="L206" s="61" t="e">
        <f>IF(F206&lt;&gt;0,K206/F206,0)</f>
        <v>#VALUE!</v>
      </c>
      <c r="M206" s="60" t="e">
        <f>+SUMIFS([51]section_article!$H$10:$H$936,[51]section_article!$C$10:$C$936,C206,[51]section_article!$D$10:$D$936,D206)</f>
        <v>#VALUE!</v>
      </c>
      <c r="N206" s="24" t="e">
        <f t="shared" si="113"/>
        <v>#VALUE!</v>
      </c>
      <c r="O206" s="9"/>
      <c r="Q206" s="63"/>
      <c r="AJ206" s="64"/>
      <c r="AK206" s="64"/>
      <c r="AL206" s="64"/>
      <c r="AM206" s="64"/>
      <c r="AN206" s="64"/>
      <c r="AO206" s="11">
        <v>1114117</v>
      </c>
      <c r="AP206" s="65" t="str">
        <f t="shared" si="112"/>
        <v>11141177</v>
      </c>
    </row>
    <row r="207" spans="1:42" s="62" customFormat="1" ht="27.75" hidden="1" customHeight="1" thickTop="1" thickBot="1" x14ac:dyDescent="0.3">
      <c r="A207" s="56" t="s">
        <v>22</v>
      </c>
      <c r="B207" s="56" t="s">
        <v>22</v>
      </c>
      <c r="C207" s="57">
        <f t="shared" si="109"/>
        <v>1114117</v>
      </c>
      <c r="D207" s="58">
        <v>9</v>
      </c>
      <c r="E207" s="59" t="str">
        <f t="shared" si="110"/>
        <v>AUTRES DEPENSES PUBLIQUES</v>
      </c>
      <c r="F207" s="60" t="e">
        <f>SUMIFS([49]mensuel_section_article1!$E$3:$E$962,[49]mensuel_section_article1!$B$3:$B$962,C207,[49]mensuel_section_article1!$C$3:$C$962,D207)</f>
        <v>#VALUE!</v>
      </c>
      <c r="G207" s="60" t="e">
        <f>SUMIFS([49]mensuel_section_article1!$G$3:$G$962,[49]mensuel_section_article1!$B$3:$B$962,C207,[49]mensuel_section_article1!$C$3:$C$962,D207)</f>
        <v>#VALUE!</v>
      </c>
      <c r="H207" s="60">
        <v>0</v>
      </c>
      <c r="I207" s="60">
        <v>0</v>
      </c>
      <c r="J207" s="60">
        <v>0</v>
      </c>
      <c r="K207" s="60">
        <f t="shared" si="111"/>
        <v>0</v>
      </c>
      <c r="L207" s="61" t="e">
        <f>IF(F207&lt;&gt;0,K207/F207,0)</f>
        <v>#VALUE!</v>
      </c>
      <c r="M207" s="60" t="e">
        <f>+SUMIFS([51]section_article!$H$10:$H$936,[51]section_article!$C$10:$C$936,C207,[51]section_article!$D$10:$D$936,D207)</f>
        <v>#VALUE!</v>
      </c>
      <c r="N207" s="24" t="e">
        <f t="shared" si="113"/>
        <v>#VALUE!</v>
      </c>
      <c r="O207" s="9"/>
      <c r="Q207" s="63"/>
      <c r="AJ207" s="64"/>
      <c r="AK207" s="64"/>
      <c r="AL207" s="64"/>
      <c r="AM207" s="64"/>
      <c r="AN207" s="64"/>
      <c r="AO207" s="11">
        <v>1114117</v>
      </c>
      <c r="AP207" s="65" t="str">
        <f t="shared" si="112"/>
        <v>11141179</v>
      </c>
    </row>
    <row r="208" spans="1:42" s="1" customFormat="1" ht="27.75" customHeight="1" thickTop="1" thickBot="1" x14ac:dyDescent="0.3">
      <c r="A208" s="56" t="s">
        <v>20</v>
      </c>
      <c r="B208" s="56" t="s">
        <v>20</v>
      </c>
      <c r="C208" s="56" t="s">
        <v>20</v>
      </c>
      <c r="D208" s="51">
        <v>1114118</v>
      </c>
      <c r="E208" s="85" t="s">
        <v>47</v>
      </c>
      <c r="F208" s="68" t="e">
        <f>SUMIF($B$209:$B$215,"article",F209:F215)</f>
        <v>#VALUE!</v>
      </c>
      <c r="G208" s="68" t="e">
        <f>SUMIF($B$209:$B$215,"article",G209:G215)</f>
        <v>#VALUE!</v>
      </c>
      <c r="H208" s="68">
        <f>SUMIF($B$209:$B$215,"article",H209:H215)</f>
        <v>7740558.1220000004</v>
      </c>
      <c r="I208" s="68">
        <v>7629982.2000000002</v>
      </c>
      <c r="J208" s="68">
        <f>SUMIF($B$209:$B$215,"article",J209:J215)</f>
        <v>6534190</v>
      </c>
      <c r="K208" s="68">
        <f>SUMIF($B$209:$B$215,"article",K209:K215)</f>
        <v>1206368.1220000002</v>
      </c>
      <c r="L208" s="69">
        <f>+J208/H208</f>
        <v>0.84414972370386387</v>
      </c>
      <c r="M208" s="68"/>
      <c r="N208" s="68"/>
      <c r="O208" s="9"/>
      <c r="Q208" s="23"/>
      <c r="AJ208" s="70"/>
      <c r="AK208" s="70"/>
      <c r="AL208" s="70"/>
      <c r="AM208" s="70"/>
      <c r="AN208" s="70"/>
      <c r="AO208" s="11">
        <v>1114118</v>
      </c>
    </row>
    <row r="209" spans="1:42" s="62" customFormat="1" ht="27.75" customHeight="1" thickTop="1" thickBot="1" x14ac:dyDescent="0.3">
      <c r="A209" s="56" t="s">
        <v>22</v>
      </c>
      <c r="B209" s="56" t="s">
        <v>22</v>
      </c>
      <c r="C209" s="57">
        <f t="shared" ref="C209:C215" si="114">IF(A208="SECTION",D208,C208)</f>
        <v>1114118</v>
      </c>
      <c r="D209" s="58">
        <v>1</v>
      </c>
      <c r="E209" s="59" t="str">
        <f t="shared" ref="E209:E215" si="115">IF(D209=1, "DEPENSES DE PERSONNEL",  +IF(D209=2,"DEPENSES DE SERVICES ET CHARGES DIVERSES", +IF(D209=3,"ACHATS DE BIENS DE CONSOMMATION ET PETITS MATERIELS",+IF(D209=4,"IMMOBILISATION CORPORELLE",+IF(D209=5,"IMMOBILISATION INCORPORELLE",+IF(D209=7,"SUBVENTIONS,QUOTES-PARTS ET CONTRIB.,ALLOC, INDEMNISATIONS",+IF(D209=8,"AMORTISSEMENT DE LA DETTE",+IF(D209=9,"AUTRES DEPENSES PUBLIQUES",0))))))))</f>
        <v>DEPENSES DE PERSONNEL</v>
      </c>
      <c r="F209" s="60" t="e">
        <f>SUMIFS([49]mensuel_section_article1!$E$3:$E$962,[49]mensuel_section_article1!$B$3:$B$962,C209,[49]mensuel_section_article1!$C$3:$C$962,D209)</f>
        <v>#VALUE!</v>
      </c>
      <c r="G209" s="60" t="e">
        <f>SUMIFS([49]mensuel_section_article1!$G$3:$G$962,[49]mensuel_section_article1!$B$3:$B$962,C209,[49]mensuel_section_article1!$C$3:$C$962,D209)</f>
        <v>#VALUE!</v>
      </c>
      <c r="H209" s="60">
        <v>7255598.1600000001</v>
      </c>
      <c r="I209" s="60">
        <v>7145022.2000000002</v>
      </c>
      <c r="J209" s="60">
        <v>6534190</v>
      </c>
      <c r="K209" s="60">
        <f t="shared" ref="K209:K215" si="116">+H209-J209</f>
        <v>721408.16000000015</v>
      </c>
      <c r="L209" s="61">
        <f>+J209/H209</f>
        <v>0.90057220037665364</v>
      </c>
      <c r="M209" s="60"/>
      <c r="N209" s="24"/>
      <c r="O209" s="9"/>
      <c r="P209" s="8"/>
      <c r="Q209" s="63"/>
      <c r="AJ209" s="64"/>
      <c r="AK209" s="64"/>
      <c r="AL209" s="64"/>
      <c r="AM209" s="64"/>
      <c r="AN209" s="64"/>
      <c r="AO209" s="11">
        <v>1114118</v>
      </c>
      <c r="AP209" s="65" t="str">
        <f t="shared" ref="AP209:AP215" si="117">CONCATENATE(AO209,D209)</f>
        <v>11141181</v>
      </c>
    </row>
    <row r="210" spans="1:42" s="62" customFormat="1" ht="27.75" customHeight="1" thickTop="1" thickBot="1" x14ac:dyDescent="0.3">
      <c r="A210" s="56" t="s">
        <v>22</v>
      </c>
      <c r="B210" s="56" t="s">
        <v>22</v>
      </c>
      <c r="C210" s="57">
        <f t="shared" si="114"/>
        <v>1114118</v>
      </c>
      <c r="D210" s="58">
        <v>2</v>
      </c>
      <c r="E210" s="59" t="str">
        <f t="shared" si="115"/>
        <v>DEPENSES DE SERVICES ET CHARGES DIVERSES</v>
      </c>
      <c r="F210" s="60" t="e">
        <f>SUMIFS([49]mensuel_section_article1!$E$3:$E$962,[49]mensuel_section_article1!$B$3:$B$962,C210,[49]mensuel_section_article1!$C$3:$C$962,D210)</f>
        <v>#VALUE!</v>
      </c>
      <c r="G210" s="60" t="e">
        <f>SUMIFS([49]mensuel_section_article1!$G$3:$G$962,[49]mensuel_section_article1!$B$3:$B$962,C210,[49]mensuel_section_article1!$C$3:$C$962,D210)</f>
        <v>#VALUE!</v>
      </c>
      <c r="H210" s="60">
        <v>484959.96200000006</v>
      </c>
      <c r="I210" s="60">
        <v>484960</v>
      </c>
      <c r="J210" s="60">
        <v>0</v>
      </c>
      <c r="K210" s="60">
        <f t="shared" si="116"/>
        <v>484959.96200000006</v>
      </c>
      <c r="L210" s="61">
        <f>+J210/H210</f>
        <v>0</v>
      </c>
      <c r="M210" s="60"/>
      <c r="N210" s="24"/>
      <c r="O210" s="9"/>
      <c r="Q210" s="63"/>
      <c r="AJ210" s="64"/>
      <c r="AK210" s="64"/>
      <c r="AL210" s="64"/>
      <c r="AM210" s="64"/>
      <c r="AN210" s="64"/>
      <c r="AO210" s="11">
        <v>1114118</v>
      </c>
      <c r="AP210" s="65" t="str">
        <f t="shared" si="117"/>
        <v>11141182</v>
      </c>
    </row>
    <row r="211" spans="1:42" s="62" customFormat="1" ht="27.75" hidden="1" customHeight="1" thickTop="1" thickBot="1" x14ac:dyDescent="0.3">
      <c r="A211" s="56" t="s">
        <v>22</v>
      </c>
      <c r="B211" s="56" t="s">
        <v>22</v>
      </c>
      <c r="C211" s="57">
        <f t="shared" si="114"/>
        <v>1114118</v>
      </c>
      <c r="D211" s="58">
        <v>3</v>
      </c>
      <c r="E211" s="59" t="str">
        <f t="shared" si="115"/>
        <v>ACHATS DE BIENS DE CONSOMMATION ET PETITS MATERIELS</v>
      </c>
      <c r="F211" s="60" t="e">
        <f>SUMIFS([49]mensuel_section_article1!$E$3:$E$962,[49]mensuel_section_article1!$B$3:$B$962,C211,[49]mensuel_section_article1!$C$3:$C$962,D211)</f>
        <v>#VALUE!</v>
      </c>
      <c r="G211" s="60" t="e">
        <f>SUMIFS([49]mensuel_section_article1!$G$3:$G$962,[49]mensuel_section_article1!$B$3:$B$962,C211,[49]mensuel_section_article1!$C$3:$C$962,D211)</f>
        <v>#VALUE!</v>
      </c>
      <c r="H211" s="60">
        <v>0</v>
      </c>
      <c r="I211" s="60">
        <v>0</v>
      </c>
      <c r="J211" s="60">
        <v>0</v>
      </c>
      <c r="K211" s="60">
        <f t="shared" si="116"/>
        <v>0</v>
      </c>
      <c r="L211" s="61" t="e">
        <f>IF(F211&lt;&gt;0,K211/F211,0)</f>
        <v>#VALUE!</v>
      </c>
      <c r="M211" s="60" t="e">
        <f>+SUMIFS([51]section_article!$H$10:$H$936,[51]section_article!$C$10:$C$936,C211,[51]section_article!$D$10:$D$936,D211)</f>
        <v>#VALUE!</v>
      </c>
      <c r="N211" s="24" t="e">
        <f t="shared" ref="N209:N215" si="118">+J211-M211</f>
        <v>#VALUE!</v>
      </c>
      <c r="O211" s="9"/>
      <c r="Q211" s="63"/>
      <c r="AJ211" s="64"/>
      <c r="AK211" s="64"/>
      <c r="AL211" s="64"/>
      <c r="AM211" s="64"/>
      <c r="AN211" s="64"/>
      <c r="AO211" s="11">
        <v>1114118</v>
      </c>
      <c r="AP211" s="65" t="str">
        <f t="shared" si="117"/>
        <v>11141183</v>
      </c>
    </row>
    <row r="212" spans="1:42" s="62" customFormat="1" ht="27.75" hidden="1" customHeight="1" thickTop="1" thickBot="1" x14ac:dyDescent="0.3">
      <c r="A212" s="56" t="s">
        <v>22</v>
      </c>
      <c r="B212" s="56" t="s">
        <v>22</v>
      </c>
      <c r="C212" s="57">
        <f t="shared" si="114"/>
        <v>1114118</v>
      </c>
      <c r="D212" s="58">
        <v>4</v>
      </c>
      <c r="E212" s="59" t="str">
        <f t="shared" si="115"/>
        <v>IMMOBILISATION CORPORELLE</v>
      </c>
      <c r="F212" s="60" t="e">
        <f>SUMIFS([49]mensuel_section_article1!$E$3:$E$962,[49]mensuel_section_article1!$B$3:$B$962,C212,[49]mensuel_section_article1!$C$3:$C$962,D212)</f>
        <v>#VALUE!</v>
      </c>
      <c r="G212" s="60" t="e">
        <f>SUMIFS([49]mensuel_section_article1!$G$3:$G$962,[49]mensuel_section_article1!$B$3:$B$962,C212,[49]mensuel_section_article1!$C$3:$C$962,D212)</f>
        <v>#VALUE!</v>
      </c>
      <c r="H212" s="60">
        <v>0</v>
      </c>
      <c r="I212" s="60">
        <v>0</v>
      </c>
      <c r="J212" s="60">
        <v>0</v>
      </c>
      <c r="K212" s="60">
        <f t="shared" si="116"/>
        <v>0</v>
      </c>
      <c r="L212" s="61" t="e">
        <f>IF(F212&lt;&gt;0,K212/F212,0)</f>
        <v>#VALUE!</v>
      </c>
      <c r="M212" s="60" t="e">
        <f>+SUMIFS([51]section_article!$H$10:$H$936,[51]section_article!$C$10:$C$936,C212,[51]section_article!$D$10:$D$936,D212)</f>
        <v>#VALUE!</v>
      </c>
      <c r="N212" s="24" t="e">
        <f t="shared" si="118"/>
        <v>#VALUE!</v>
      </c>
      <c r="O212" s="9"/>
      <c r="Q212" s="63"/>
      <c r="AJ212" s="64"/>
      <c r="AK212" s="64"/>
      <c r="AL212" s="64"/>
      <c r="AM212" s="64"/>
      <c r="AN212" s="64"/>
      <c r="AO212" s="11">
        <v>1114118</v>
      </c>
      <c r="AP212" s="65" t="str">
        <f t="shared" si="117"/>
        <v>11141184</v>
      </c>
    </row>
    <row r="213" spans="1:42" s="62" customFormat="1" ht="27.75" hidden="1" customHeight="1" thickTop="1" thickBot="1" x14ac:dyDescent="0.3">
      <c r="A213" s="56" t="s">
        <v>22</v>
      </c>
      <c r="B213" s="56" t="s">
        <v>22</v>
      </c>
      <c r="C213" s="57">
        <f t="shared" si="114"/>
        <v>1114118</v>
      </c>
      <c r="D213" s="58">
        <v>5</v>
      </c>
      <c r="E213" s="59" t="str">
        <f t="shared" si="115"/>
        <v>IMMOBILISATION INCORPORELLE</v>
      </c>
      <c r="F213" s="60" t="e">
        <f>SUMIFS([49]mensuel_section_article1!$E$3:$E$962,[49]mensuel_section_article1!$B$3:$B$962,C213,[49]mensuel_section_article1!$C$3:$C$962,D213)</f>
        <v>#VALUE!</v>
      </c>
      <c r="G213" s="60" t="e">
        <f>SUMIFS([49]mensuel_section_article1!$G$3:$G$962,[49]mensuel_section_article1!$B$3:$B$962,C213,[49]mensuel_section_article1!$C$3:$C$962,D213)</f>
        <v>#VALUE!</v>
      </c>
      <c r="H213" s="60">
        <v>0</v>
      </c>
      <c r="I213" s="60">
        <v>0</v>
      </c>
      <c r="J213" s="60">
        <v>0</v>
      </c>
      <c r="K213" s="60">
        <f t="shared" si="116"/>
        <v>0</v>
      </c>
      <c r="L213" s="61" t="e">
        <f>IF(F213&lt;&gt;0,K213/F213,0)</f>
        <v>#VALUE!</v>
      </c>
      <c r="M213" s="60" t="e">
        <f>+SUMIFS([51]section_article!$H$10:$H$936,[51]section_article!$C$10:$C$936,C213,[51]section_article!$D$10:$D$936,D213)</f>
        <v>#VALUE!</v>
      </c>
      <c r="N213" s="24" t="e">
        <f t="shared" si="118"/>
        <v>#VALUE!</v>
      </c>
      <c r="O213" s="9"/>
      <c r="Q213" s="63"/>
      <c r="AJ213" s="64"/>
      <c r="AK213" s="64"/>
      <c r="AL213" s="64"/>
      <c r="AM213" s="64"/>
      <c r="AN213" s="64"/>
      <c r="AO213" s="11">
        <v>1114118</v>
      </c>
      <c r="AP213" s="65" t="str">
        <f t="shared" si="117"/>
        <v>11141185</v>
      </c>
    </row>
    <row r="214" spans="1:42" s="62" customFormat="1" ht="27.75" hidden="1" customHeight="1" thickTop="1" thickBot="1" x14ac:dyDescent="0.3">
      <c r="A214" s="56" t="s">
        <v>22</v>
      </c>
      <c r="B214" s="56" t="s">
        <v>22</v>
      </c>
      <c r="C214" s="57">
        <f t="shared" si="114"/>
        <v>1114118</v>
      </c>
      <c r="D214" s="58">
        <v>7</v>
      </c>
      <c r="E214" s="59" t="str">
        <f t="shared" si="115"/>
        <v>SUBVENTIONS,QUOTES-PARTS ET CONTRIB.,ALLOC, INDEMNISATIONS</v>
      </c>
      <c r="F214" s="60" t="e">
        <f>SUMIFS([49]mensuel_section_article1!$E$3:$E$962,[49]mensuel_section_article1!$B$3:$B$962,C214,[49]mensuel_section_article1!$C$3:$C$962,D214)</f>
        <v>#VALUE!</v>
      </c>
      <c r="G214" s="60" t="e">
        <f>SUMIFS([49]mensuel_section_article1!$G$3:$G$962,[49]mensuel_section_article1!$B$3:$B$962,C214,[49]mensuel_section_article1!$C$3:$C$962,D214)</f>
        <v>#VALUE!</v>
      </c>
      <c r="H214" s="60">
        <v>0</v>
      </c>
      <c r="I214" s="60">
        <v>0</v>
      </c>
      <c r="J214" s="60">
        <v>0</v>
      </c>
      <c r="K214" s="60">
        <f t="shared" si="116"/>
        <v>0</v>
      </c>
      <c r="L214" s="61" t="e">
        <f>IF(F214&lt;&gt;0,K214/F214,0)</f>
        <v>#VALUE!</v>
      </c>
      <c r="M214" s="60" t="e">
        <f>+SUMIFS([51]section_article!$H$10:$H$936,[51]section_article!$C$10:$C$936,C214,[51]section_article!$D$10:$D$936,D214)</f>
        <v>#VALUE!</v>
      </c>
      <c r="N214" s="24" t="e">
        <f t="shared" si="118"/>
        <v>#VALUE!</v>
      </c>
      <c r="O214" s="9"/>
      <c r="Q214" s="63"/>
      <c r="AJ214" s="64"/>
      <c r="AK214" s="64"/>
      <c r="AL214" s="64"/>
      <c r="AM214" s="64"/>
      <c r="AN214" s="64"/>
      <c r="AO214" s="11">
        <v>1114118</v>
      </c>
      <c r="AP214" s="65" t="str">
        <f t="shared" si="117"/>
        <v>11141187</v>
      </c>
    </row>
    <row r="215" spans="1:42" s="62" customFormat="1" ht="27.75" hidden="1" customHeight="1" thickTop="1" thickBot="1" x14ac:dyDescent="0.3">
      <c r="A215" s="56" t="s">
        <v>22</v>
      </c>
      <c r="B215" s="56" t="s">
        <v>22</v>
      </c>
      <c r="C215" s="57">
        <f t="shared" si="114"/>
        <v>1114118</v>
      </c>
      <c r="D215" s="58">
        <v>9</v>
      </c>
      <c r="E215" s="59" t="str">
        <f t="shared" si="115"/>
        <v>AUTRES DEPENSES PUBLIQUES</v>
      </c>
      <c r="F215" s="60" t="e">
        <f>SUMIFS([49]mensuel_section_article1!$E$3:$E$962,[49]mensuel_section_article1!$B$3:$B$962,C215,[49]mensuel_section_article1!$C$3:$C$962,D215)</f>
        <v>#VALUE!</v>
      </c>
      <c r="G215" s="60" t="e">
        <f>SUMIFS([49]mensuel_section_article1!$G$3:$G$962,[49]mensuel_section_article1!$B$3:$B$962,C215,[49]mensuel_section_article1!$C$3:$C$962,D215)</f>
        <v>#VALUE!</v>
      </c>
      <c r="H215" s="60">
        <v>0</v>
      </c>
      <c r="I215" s="60">
        <v>0</v>
      </c>
      <c r="J215" s="60">
        <v>0</v>
      </c>
      <c r="K215" s="60">
        <f t="shared" si="116"/>
        <v>0</v>
      </c>
      <c r="L215" s="61" t="e">
        <f>IF(F215&lt;&gt;0,K215/F215,0)</f>
        <v>#VALUE!</v>
      </c>
      <c r="M215" s="60" t="e">
        <f>+SUMIFS([51]section_article!$H$10:$H$936,[51]section_article!$C$10:$C$936,C215,[51]section_article!$D$10:$D$936,D215)</f>
        <v>#VALUE!</v>
      </c>
      <c r="N215" s="24" t="e">
        <f t="shared" si="118"/>
        <v>#VALUE!</v>
      </c>
      <c r="O215" s="9"/>
      <c r="Q215" s="63"/>
      <c r="AJ215" s="64"/>
      <c r="AK215" s="64"/>
      <c r="AL215" s="64"/>
      <c r="AM215" s="64"/>
      <c r="AN215" s="64"/>
      <c r="AO215" s="11">
        <v>1114118</v>
      </c>
      <c r="AP215" s="65" t="str">
        <f t="shared" si="117"/>
        <v>11141189</v>
      </c>
    </row>
    <row r="216" spans="1:42" s="1" customFormat="1" ht="27.75" customHeight="1" thickTop="1" thickBot="1" x14ac:dyDescent="0.3">
      <c r="A216" s="56" t="s">
        <v>20</v>
      </c>
      <c r="B216" s="56" t="s">
        <v>20</v>
      </c>
      <c r="C216" s="56" t="s">
        <v>20</v>
      </c>
      <c r="D216" s="51">
        <v>1114119</v>
      </c>
      <c r="E216" s="67" t="s">
        <v>48</v>
      </c>
      <c r="F216" s="68" t="e">
        <f>SUMIF($B$217:$B$223,"article",F217:F223)</f>
        <v>#VALUE!</v>
      </c>
      <c r="G216" s="68" t="e">
        <f>SUMIF($B$217:$B$223,"article",G217:G223)</f>
        <v>#VALUE!</v>
      </c>
      <c r="H216" s="68">
        <f>SUMIF($B$217:$B$223,"article",H217:H223)</f>
        <v>60000001.001999997</v>
      </c>
      <c r="I216" s="68">
        <v>60000000.999999993</v>
      </c>
      <c r="J216" s="68">
        <f>SUMIF($B$217:$B$223,"article",J217:J223)</f>
        <v>56801789.790000007</v>
      </c>
      <c r="K216" s="68">
        <f>SUMIF($B$217:$B$223,"article",K217:K223)</f>
        <v>3198211.2119999938</v>
      </c>
      <c r="L216" s="69">
        <f>+J216/H216</f>
        <v>0.94669648069016898</v>
      </c>
      <c r="M216" s="68"/>
      <c r="N216" s="68"/>
      <c r="O216" s="9"/>
      <c r="Q216" s="23"/>
      <c r="AJ216" s="70"/>
      <c r="AK216" s="70"/>
      <c r="AL216" s="70"/>
      <c r="AM216" s="70"/>
      <c r="AN216" s="70"/>
      <c r="AO216" s="11">
        <v>1114119</v>
      </c>
    </row>
    <row r="217" spans="1:42" s="62" customFormat="1" ht="27.75" customHeight="1" thickTop="1" thickBot="1" x14ac:dyDescent="0.3">
      <c r="A217" s="56" t="s">
        <v>22</v>
      </c>
      <c r="B217" s="56" t="s">
        <v>22</v>
      </c>
      <c r="C217" s="57">
        <f t="shared" ref="C217:C223" si="119">IF(A216="SECTION",D216,C216)</f>
        <v>1114119</v>
      </c>
      <c r="D217" s="58">
        <v>1</v>
      </c>
      <c r="E217" s="59" t="str">
        <f t="shared" ref="E217:E223" si="120">IF(D217=1, "DEPENSES DE PERSONNEL",  +IF(D217=2,"DEPENSES DE SERVICES ET CHARGES DIVERSES", +IF(D217=3,"ACHATS DE BIENS DE CONSOMMATION ET PETITS MATERIELS",+IF(D217=4,"IMMOBILISATION CORPORELLE",+IF(D217=5,"IMMOBILISATION INCORPORELLE",+IF(D217=7,"SUBVENTIONS,QUOTES-PARTS ET CONTRIB.,ALLOC, INDEMNISATIONS",+IF(D217=8,"AMORTISSEMENT DE LA DETTE",+IF(D217=9,"AUTRES DEPENSES PUBLIQUES",0))))))))</f>
        <v>DEPENSES DE PERSONNEL</v>
      </c>
      <c r="F217" s="60" t="e">
        <f>SUMIFS([49]mensuel_section_article1!$E$3:$E$962,[49]mensuel_section_article1!$B$3:$B$962,C217,[49]mensuel_section_article1!$C$3:$C$962,D217)</f>
        <v>#VALUE!</v>
      </c>
      <c r="G217" s="60" t="e">
        <f>SUMIFS([49]mensuel_section_article1!$G$3:$G$962,[49]mensuel_section_article1!$B$3:$B$962,C217,[49]mensuel_section_article1!$C$3:$C$962,D217)</f>
        <v>#VALUE!</v>
      </c>
      <c r="H217" s="60">
        <v>46304432.869999997</v>
      </c>
      <c r="I217" s="60">
        <v>46304432.899999991</v>
      </c>
      <c r="J217" s="60">
        <v>44496492.450000003</v>
      </c>
      <c r="K217" s="60">
        <f t="shared" ref="K217:K223" si="121">+H217-J217</f>
        <v>1807940.4199999943</v>
      </c>
      <c r="L217" s="61">
        <f>+J217/H217</f>
        <v>0.96095534902509661</v>
      </c>
      <c r="M217" s="60"/>
      <c r="N217" s="24"/>
      <c r="O217" s="9"/>
      <c r="Q217" s="63"/>
      <c r="AJ217" s="64"/>
      <c r="AK217" s="64"/>
      <c r="AL217" s="64"/>
      <c r="AM217" s="64"/>
      <c r="AN217" s="64"/>
      <c r="AO217" s="11">
        <v>1114119</v>
      </c>
      <c r="AP217" s="65" t="str">
        <f t="shared" ref="AP217:AP223" si="122">CONCATENATE(AO217,D217)</f>
        <v>11141191</v>
      </c>
    </row>
    <row r="218" spans="1:42" s="62" customFormat="1" ht="27.75" customHeight="1" thickTop="1" thickBot="1" x14ac:dyDescent="0.3">
      <c r="A218" s="56" t="s">
        <v>22</v>
      </c>
      <c r="B218" s="56" t="s">
        <v>22</v>
      </c>
      <c r="C218" s="57">
        <f t="shared" si="119"/>
        <v>1114119</v>
      </c>
      <c r="D218" s="58">
        <v>2</v>
      </c>
      <c r="E218" s="59" t="str">
        <f t="shared" si="120"/>
        <v>DEPENSES DE SERVICES ET CHARGES DIVERSES</v>
      </c>
      <c r="F218" s="60" t="e">
        <f>SUMIFS([49]mensuel_section_article1!$E$3:$E$962,[49]mensuel_section_article1!$B$3:$B$962,C218,[49]mensuel_section_article1!$C$3:$C$962,D218)</f>
        <v>#VALUE!</v>
      </c>
      <c r="G218" s="60" t="e">
        <f>SUMIFS([49]mensuel_section_article1!$G$3:$G$962,[49]mensuel_section_article1!$B$3:$B$962,C218,[49]mensuel_section_article1!$C$3:$C$962,D218)</f>
        <v>#VALUE!</v>
      </c>
      <c r="H218" s="60">
        <v>13695568.131999999</v>
      </c>
      <c r="I218" s="60">
        <v>13695568.1</v>
      </c>
      <c r="J218" s="60">
        <v>12305297.34</v>
      </c>
      <c r="K218" s="60">
        <f t="shared" si="121"/>
        <v>1390270.7919999994</v>
      </c>
      <c r="L218" s="61">
        <f>+J218/H218</f>
        <v>0.89848754147324483</v>
      </c>
      <c r="M218" s="60"/>
      <c r="N218" s="24"/>
      <c r="O218" s="9"/>
      <c r="Q218" s="63"/>
      <c r="AJ218" s="64"/>
      <c r="AK218" s="64"/>
      <c r="AL218" s="64"/>
      <c r="AM218" s="64"/>
      <c r="AN218" s="64"/>
      <c r="AO218" s="11">
        <v>1114119</v>
      </c>
      <c r="AP218" s="65" t="str">
        <f t="shared" si="122"/>
        <v>11141192</v>
      </c>
    </row>
    <row r="219" spans="1:42" s="62" customFormat="1" ht="27.75" hidden="1" customHeight="1" thickTop="1" thickBot="1" x14ac:dyDescent="0.3">
      <c r="A219" s="56" t="s">
        <v>22</v>
      </c>
      <c r="B219" s="56" t="s">
        <v>22</v>
      </c>
      <c r="C219" s="57">
        <f t="shared" si="119"/>
        <v>1114119</v>
      </c>
      <c r="D219" s="58">
        <v>3</v>
      </c>
      <c r="E219" s="59" t="str">
        <f t="shared" si="120"/>
        <v>ACHATS DE BIENS DE CONSOMMATION ET PETITS MATERIELS</v>
      </c>
      <c r="F219" s="60" t="e">
        <f>SUMIFS([49]mensuel_section_article1!$E$3:$E$962,[49]mensuel_section_article1!$B$3:$B$962,C219,[49]mensuel_section_article1!$C$3:$C$962,D219)</f>
        <v>#VALUE!</v>
      </c>
      <c r="G219" s="60" t="e">
        <f>SUMIFS([49]mensuel_section_article1!$G$3:$G$962,[49]mensuel_section_article1!$B$3:$B$962,C219,[49]mensuel_section_article1!$C$3:$C$962,D219)</f>
        <v>#VALUE!</v>
      </c>
      <c r="H219" s="60">
        <v>0</v>
      </c>
      <c r="I219" s="60">
        <v>0</v>
      </c>
      <c r="J219" s="60">
        <v>0</v>
      </c>
      <c r="K219" s="60">
        <f t="shared" si="121"/>
        <v>0</v>
      </c>
      <c r="L219" s="61" t="e">
        <f>IF(F219&lt;&gt;0,K219/F219,0)</f>
        <v>#VALUE!</v>
      </c>
      <c r="M219" s="60" t="e">
        <f>+SUMIFS([51]section_article!$H$10:$H$936,[51]section_article!$C$10:$C$936,C219,[51]section_article!$D$10:$D$936,D219)</f>
        <v>#VALUE!</v>
      </c>
      <c r="N219" s="24" t="e">
        <f t="shared" ref="N217:N223" si="123">+J219-M219</f>
        <v>#VALUE!</v>
      </c>
      <c r="O219" s="9"/>
      <c r="Q219" s="63"/>
      <c r="AJ219" s="64"/>
      <c r="AK219" s="64"/>
      <c r="AL219" s="64"/>
      <c r="AM219" s="64"/>
      <c r="AN219" s="64"/>
      <c r="AO219" s="11">
        <v>1114119</v>
      </c>
      <c r="AP219" s="65" t="str">
        <f t="shared" si="122"/>
        <v>11141193</v>
      </c>
    </row>
    <row r="220" spans="1:42" s="62" customFormat="1" ht="27.75" hidden="1" customHeight="1" thickTop="1" thickBot="1" x14ac:dyDescent="0.3">
      <c r="A220" s="56" t="s">
        <v>22</v>
      </c>
      <c r="B220" s="56" t="s">
        <v>22</v>
      </c>
      <c r="C220" s="57">
        <f t="shared" si="119"/>
        <v>1114119</v>
      </c>
      <c r="D220" s="58">
        <v>4</v>
      </c>
      <c r="E220" s="59" t="str">
        <f t="shared" si="120"/>
        <v>IMMOBILISATION CORPORELLE</v>
      </c>
      <c r="F220" s="60" t="e">
        <f>SUMIFS([49]mensuel_section_article1!$E$3:$E$962,[49]mensuel_section_article1!$B$3:$B$962,C220,[49]mensuel_section_article1!$C$3:$C$962,D220)</f>
        <v>#VALUE!</v>
      </c>
      <c r="G220" s="60" t="e">
        <f>SUMIFS([49]mensuel_section_article1!$G$3:$G$962,[49]mensuel_section_article1!$B$3:$B$962,C220,[49]mensuel_section_article1!$C$3:$C$962,D220)</f>
        <v>#VALUE!</v>
      </c>
      <c r="H220" s="60">
        <v>0</v>
      </c>
      <c r="I220" s="60">
        <v>0</v>
      </c>
      <c r="J220" s="60">
        <v>0</v>
      </c>
      <c r="K220" s="60">
        <f t="shared" si="121"/>
        <v>0</v>
      </c>
      <c r="L220" s="61" t="e">
        <f>IF(F220&lt;&gt;0,K220/F220,0)</f>
        <v>#VALUE!</v>
      </c>
      <c r="M220" s="60" t="e">
        <f>+SUMIFS([51]section_article!$H$10:$H$936,[51]section_article!$C$10:$C$936,C220,[51]section_article!$D$10:$D$936,D220)</f>
        <v>#VALUE!</v>
      </c>
      <c r="N220" s="24" t="e">
        <f t="shared" si="123"/>
        <v>#VALUE!</v>
      </c>
      <c r="O220" s="9"/>
      <c r="Q220" s="63"/>
      <c r="AJ220" s="64"/>
      <c r="AK220" s="64"/>
      <c r="AL220" s="64"/>
      <c r="AM220" s="64"/>
      <c r="AN220" s="64"/>
      <c r="AO220" s="11">
        <v>1114119</v>
      </c>
      <c r="AP220" s="65" t="str">
        <f t="shared" si="122"/>
        <v>11141194</v>
      </c>
    </row>
    <row r="221" spans="1:42" s="62" customFormat="1" ht="27.75" hidden="1" customHeight="1" thickTop="1" thickBot="1" x14ac:dyDescent="0.3">
      <c r="A221" s="56" t="s">
        <v>22</v>
      </c>
      <c r="B221" s="56" t="s">
        <v>22</v>
      </c>
      <c r="C221" s="57">
        <f t="shared" si="119"/>
        <v>1114119</v>
      </c>
      <c r="D221" s="58">
        <v>5</v>
      </c>
      <c r="E221" s="59" t="str">
        <f t="shared" si="120"/>
        <v>IMMOBILISATION INCORPORELLE</v>
      </c>
      <c r="F221" s="60" t="e">
        <f>SUMIFS([49]mensuel_section_article1!$E$3:$E$962,[49]mensuel_section_article1!$B$3:$B$962,C221,[49]mensuel_section_article1!$C$3:$C$962,D221)</f>
        <v>#VALUE!</v>
      </c>
      <c r="G221" s="60" t="e">
        <f>SUMIFS([49]mensuel_section_article1!$G$3:$G$962,[49]mensuel_section_article1!$B$3:$B$962,C221,[49]mensuel_section_article1!$C$3:$C$962,D221)</f>
        <v>#VALUE!</v>
      </c>
      <c r="H221" s="60">
        <v>0</v>
      </c>
      <c r="I221" s="60">
        <v>0</v>
      </c>
      <c r="J221" s="60">
        <v>0</v>
      </c>
      <c r="K221" s="60">
        <f t="shared" si="121"/>
        <v>0</v>
      </c>
      <c r="L221" s="61" t="e">
        <f>IF(F221&lt;&gt;0,K221/F221,0)</f>
        <v>#VALUE!</v>
      </c>
      <c r="M221" s="60" t="e">
        <f>+SUMIFS([51]section_article!$H$10:$H$936,[51]section_article!$C$10:$C$936,C221,[51]section_article!$D$10:$D$936,D221)</f>
        <v>#VALUE!</v>
      </c>
      <c r="N221" s="24" t="e">
        <f t="shared" si="123"/>
        <v>#VALUE!</v>
      </c>
      <c r="O221" s="9"/>
      <c r="Q221" s="63"/>
      <c r="AJ221" s="64"/>
      <c r="AK221" s="64"/>
      <c r="AL221" s="64"/>
      <c r="AM221" s="64"/>
      <c r="AN221" s="64"/>
      <c r="AO221" s="11">
        <v>1114119</v>
      </c>
      <c r="AP221" s="65" t="str">
        <f t="shared" si="122"/>
        <v>11141195</v>
      </c>
    </row>
    <row r="222" spans="1:42" s="62" customFormat="1" ht="27.75" hidden="1" customHeight="1" thickTop="1" thickBot="1" x14ac:dyDescent="0.3">
      <c r="A222" s="56" t="s">
        <v>22</v>
      </c>
      <c r="B222" s="56" t="s">
        <v>22</v>
      </c>
      <c r="C222" s="57">
        <f t="shared" si="119"/>
        <v>1114119</v>
      </c>
      <c r="D222" s="58">
        <v>7</v>
      </c>
      <c r="E222" s="59" t="str">
        <f t="shared" si="120"/>
        <v>SUBVENTIONS,QUOTES-PARTS ET CONTRIB.,ALLOC, INDEMNISATIONS</v>
      </c>
      <c r="F222" s="60" t="e">
        <f>SUMIFS([49]mensuel_section_article1!$E$3:$E$962,[49]mensuel_section_article1!$B$3:$B$962,C222,[49]mensuel_section_article1!$C$3:$C$962,D222)</f>
        <v>#VALUE!</v>
      </c>
      <c r="G222" s="60" t="e">
        <f>SUMIFS([49]mensuel_section_article1!$G$3:$G$962,[49]mensuel_section_article1!$B$3:$B$962,C222,[49]mensuel_section_article1!$C$3:$C$962,D222)</f>
        <v>#VALUE!</v>
      </c>
      <c r="H222" s="60">
        <v>0</v>
      </c>
      <c r="I222" s="60">
        <v>0</v>
      </c>
      <c r="J222" s="60">
        <v>0</v>
      </c>
      <c r="K222" s="60">
        <f t="shared" si="121"/>
        <v>0</v>
      </c>
      <c r="L222" s="61" t="e">
        <f>IF(F222&lt;&gt;0,K222/F222,0)</f>
        <v>#VALUE!</v>
      </c>
      <c r="M222" s="60" t="e">
        <f>+SUMIFS([51]section_article!$H$10:$H$936,[51]section_article!$C$10:$C$936,C222,[51]section_article!$D$10:$D$936,D222)</f>
        <v>#VALUE!</v>
      </c>
      <c r="N222" s="24" t="e">
        <f t="shared" si="123"/>
        <v>#VALUE!</v>
      </c>
      <c r="O222" s="9"/>
      <c r="Q222" s="63"/>
      <c r="AJ222" s="64"/>
      <c r="AK222" s="64"/>
      <c r="AL222" s="64"/>
      <c r="AM222" s="64"/>
      <c r="AN222" s="64"/>
      <c r="AO222" s="11">
        <v>1114119</v>
      </c>
      <c r="AP222" s="65" t="str">
        <f t="shared" si="122"/>
        <v>11141197</v>
      </c>
    </row>
    <row r="223" spans="1:42" s="62" customFormat="1" ht="27.75" hidden="1" customHeight="1" thickTop="1" thickBot="1" x14ac:dyDescent="0.3">
      <c r="A223" s="56" t="s">
        <v>22</v>
      </c>
      <c r="B223" s="56" t="s">
        <v>22</v>
      </c>
      <c r="C223" s="57">
        <f t="shared" si="119"/>
        <v>1114119</v>
      </c>
      <c r="D223" s="58">
        <v>9</v>
      </c>
      <c r="E223" s="59" t="str">
        <f t="shared" si="120"/>
        <v>AUTRES DEPENSES PUBLIQUES</v>
      </c>
      <c r="F223" s="60" t="e">
        <f>SUMIFS([49]mensuel_section_article1!$E$3:$E$962,[49]mensuel_section_article1!$B$3:$B$962,C223,[49]mensuel_section_article1!$C$3:$C$962,D223)</f>
        <v>#VALUE!</v>
      </c>
      <c r="G223" s="60" t="e">
        <f>SUMIFS([49]mensuel_section_article1!$G$3:$G$962,[49]mensuel_section_article1!$B$3:$B$962,C223,[49]mensuel_section_article1!$C$3:$C$962,D223)</f>
        <v>#VALUE!</v>
      </c>
      <c r="H223" s="60">
        <v>0</v>
      </c>
      <c r="I223" s="60">
        <v>0</v>
      </c>
      <c r="J223" s="60">
        <v>0</v>
      </c>
      <c r="K223" s="60">
        <f t="shared" si="121"/>
        <v>0</v>
      </c>
      <c r="L223" s="61" t="e">
        <f>IF(F223&lt;&gt;0,K223/F223,0)</f>
        <v>#VALUE!</v>
      </c>
      <c r="M223" s="60" t="e">
        <f>+SUMIFS([51]section_article!$H$10:$H$936,[51]section_article!$C$10:$C$936,C223,[51]section_article!$D$10:$D$936,D223)</f>
        <v>#VALUE!</v>
      </c>
      <c r="N223" s="24" t="e">
        <f t="shared" si="123"/>
        <v>#VALUE!</v>
      </c>
      <c r="O223" s="9"/>
      <c r="Q223" s="63"/>
      <c r="AJ223" s="64"/>
      <c r="AK223" s="64"/>
      <c r="AL223" s="64"/>
      <c r="AM223" s="64"/>
      <c r="AN223" s="64"/>
      <c r="AO223" s="11">
        <v>1114119</v>
      </c>
      <c r="AP223" s="65" t="str">
        <f t="shared" si="122"/>
        <v>11141199</v>
      </c>
    </row>
    <row r="224" spans="1:42" s="1" customFormat="1" ht="27.75" customHeight="1" thickTop="1" thickBot="1" x14ac:dyDescent="0.3">
      <c r="A224" s="56" t="s">
        <v>20</v>
      </c>
      <c r="B224" s="56" t="s">
        <v>20</v>
      </c>
      <c r="C224" s="56" t="s">
        <v>20</v>
      </c>
      <c r="D224" s="51">
        <v>1114120</v>
      </c>
      <c r="E224" s="67" t="s">
        <v>49</v>
      </c>
      <c r="F224" s="68" t="e">
        <f>SUMIF($B$225:$B$227,"article",F225:F227)</f>
        <v>#VALUE!</v>
      </c>
      <c r="G224" s="68" t="e">
        <f>SUMIF($B$225:$B$227,"article",G225:G227)</f>
        <v>#VALUE!</v>
      </c>
      <c r="H224" s="68">
        <f>SUMIF($B$225:$B$227,"article",H225:H227)</f>
        <v>4994417.0360000003</v>
      </c>
      <c r="I224" s="68">
        <v>4994417</v>
      </c>
      <c r="J224" s="68">
        <f>SUMIF($B$225:$B$227,"article",J225:J227)</f>
        <v>0</v>
      </c>
      <c r="K224" s="68">
        <f>SUMIF($B$225:$B$227,"article",K225:K227)</f>
        <v>4994417.0360000003</v>
      </c>
      <c r="L224" s="69">
        <f>+J224/H224</f>
        <v>0</v>
      </c>
      <c r="M224" s="68"/>
      <c r="N224" s="68"/>
      <c r="O224" s="9"/>
      <c r="Q224" s="23"/>
      <c r="AK224" s="70"/>
      <c r="AL224" s="70"/>
      <c r="AM224" s="70"/>
      <c r="AN224" s="70"/>
      <c r="AO224" s="11">
        <v>1114220</v>
      </c>
    </row>
    <row r="225" spans="1:42" s="62" customFormat="1" ht="27.75" customHeight="1" thickTop="1" thickBot="1" x14ac:dyDescent="0.3">
      <c r="A225" s="56" t="s">
        <v>22</v>
      </c>
      <c r="B225" s="56" t="s">
        <v>22</v>
      </c>
      <c r="C225" s="57">
        <f>IF(A224="SECTION",D224,C224)</f>
        <v>1114120</v>
      </c>
      <c r="D225" s="58">
        <v>1</v>
      </c>
      <c r="E225" s="59" t="str">
        <f>IF(D225=1, "DEPENSES DE PERSONNEL",  +IF(D225=2,"DEPENSES DE SERVICES ET CHARGES DIVERSES", +IF(D225=3,"ACHATS DE BIENS DE CONSOMMATION ET PETITS MATERIELS",+IF(D225=4,"IMMOBILISATION CORPORELLE",+IF(D225=5,"IMMOBILISATION INCORPORELLE",+IF(D225=7,"SUBVENTIONS,QUOTES-PARTS ET CONTRIB.,ALLOC, INDEMNISATIONS",+IF(D225=8,"AMORTISSEMENT DE LA DETTE",+IF(D225=9,"AUTRES DEPENSES PUBLIQUES",0))))))))</f>
        <v>DEPENSES DE PERSONNEL</v>
      </c>
      <c r="F225" s="60" t="e">
        <f>SUMIFS([49]mensuel_section_article1!$E$3:$E$962,[49]mensuel_section_article1!$B$3:$B$962,C225,[49]mensuel_section_article1!$C$3:$C$962,D225)</f>
        <v>#VALUE!</v>
      </c>
      <c r="G225" s="60" t="e">
        <f>SUMIFS([49]mensuel_section_article1!$G$3:$G$962,[49]mensuel_section_article1!$B$3:$B$962,C225,[49]mensuel_section_article1!$C$3:$C$962,D225)</f>
        <v>#VALUE!</v>
      </c>
      <c r="H225" s="60">
        <v>119730</v>
      </c>
      <c r="I225" s="60">
        <v>119730</v>
      </c>
      <c r="J225" s="60">
        <v>0</v>
      </c>
      <c r="K225" s="60">
        <f t="shared" ref="K225:K227" si="124">+H225-J225</f>
        <v>119730</v>
      </c>
      <c r="L225" s="61">
        <f>+J225/H225</f>
        <v>0</v>
      </c>
      <c r="M225" s="60"/>
      <c r="N225" s="24"/>
      <c r="O225" s="9"/>
      <c r="Q225" s="63"/>
      <c r="AK225" s="64"/>
      <c r="AL225" s="64"/>
      <c r="AM225" s="64"/>
      <c r="AN225" s="64"/>
      <c r="AO225" s="11">
        <v>1114120</v>
      </c>
      <c r="AP225" s="65" t="str">
        <f>CONCATENATE(AO225,D225)</f>
        <v>11141201</v>
      </c>
    </row>
    <row r="226" spans="1:42" s="62" customFormat="1" ht="27.75" customHeight="1" thickTop="1" thickBot="1" x14ac:dyDescent="0.3">
      <c r="A226" s="56" t="s">
        <v>22</v>
      </c>
      <c r="B226" s="56" t="s">
        <v>22</v>
      </c>
      <c r="C226" s="57">
        <f>IF(A224="SECTION",D224,C224)</f>
        <v>1114120</v>
      </c>
      <c r="D226" s="58">
        <v>2</v>
      </c>
      <c r="E226" s="59" t="str">
        <f>IF(D226=1, "DEPENSES DE PERSONNEL",  +IF(D226=2,"DEPENSES DE SERVICES ET CHARGES DIVERSES", +IF(D226=3,"ACHATS DE BIENS DE CONSOMMATION ET PETITS MATERIELS",+IF(D226=4,"IMMOBILISATION CORPORELLE",+IF(D226=5,"IMMOBILISATION INCORPORELLE",+IF(D226=7,"SUBVENTIONS,QUOTES-PARTS ET CONTRIB.,ALLOC, INDEMNISATIONS",+IF(D226=8,"AMORTISSEMENT DE LA DETTE",+IF(D226=9,"AUTRES DEPENSES PUBLIQUES",0))))))))</f>
        <v>DEPENSES DE SERVICES ET CHARGES DIVERSES</v>
      </c>
      <c r="F226" s="60" t="e">
        <f>SUMIFS([49]mensuel_section_article1!$E$3:$E$962,[49]mensuel_section_article1!$B$3:$B$962,C226,[49]mensuel_section_article1!$C$3:$C$962,D226)</f>
        <v>#VALUE!</v>
      </c>
      <c r="G226" s="60" t="e">
        <f>SUMIFS([49]mensuel_section_article1!$G$3:$G$962,[49]mensuel_section_article1!$B$3:$B$962,C226,[49]mensuel_section_article1!$C$3:$C$962,D226)</f>
        <v>#VALUE!</v>
      </c>
      <c r="H226" s="60">
        <v>4874687.0360000003</v>
      </c>
      <c r="I226" s="60">
        <v>4874687</v>
      </c>
      <c r="J226" s="60">
        <v>0</v>
      </c>
      <c r="K226" s="60">
        <f t="shared" si="124"/>
        <v>4874687.0360000003</v>
      </c>
      <c r="L226" s="61">
        <f>+J226/H226</f>
        <v>0</v>
      </c>
      <c r="M226" s="60"/>
      <c r="N226" s="24"/>
      <c r="O226" s="9"/>
      <c r="Q226" s="63"/>
      <c r="AK226" s="64"/>
      <c r="AL226" s="64"/>
      <c r="AM226" s="64"/>
      <c r="AN226" s="64"/>
      <c r="AO226" s="11">
        <v>1114120</v>
      </c>
      <c r="AP226" s="65" t="str">
        <f>CONCATENATE(AO226,D226)</f>
        <v>11141202</v>
      </c>
    </row>
    <row r="227" spans="1:42" s="62" customFormat="1" ht="27.75" hidden="1" customHeight="1" thickTop="1" thickBot="1" x14ac:dyDescent="0.3">
      <c r="A227" s="56" t="s">
        <v>22</v>
      </c>
      <c r="B227" s="56" t="s">
        <v>22</v>
      </c>
      <c r="C227" s="57">
        <f>IF(A225="SECTION",D225,C225)</f>
        <v>1114120</v>
      </c>
      <c r="D227" s="58">
        <v>7</v>
      </c>
      <c r="E227" s="59" t="str">
        <f>IF(D227=1, "DEPENSES DE PERSONNEL",  +IF(D227=2,"DEPENSES DE SERVICES ET CHARGES DIVERSES", +IF(D227=3,"ACHATS DE BIENS DE CONSOMMATION ET PETITS MATERIELS",+IF(D227=4,"IMMOBILISATION CORPORELLE",+IF(D227=5,"IMMOBILISATION INCORPORELLE",+IF(D227=7,"SUBVENTIONS,QUOTES-PARTS ET CONTRIB.,ALLOC, INDEMNISATIONS",+IF(D227=8,"AMORTISSEMENT DE LA DETTE",+IF(D227=9,"AUTRES DEPENSES PUBLIQUES",0))))))))</f>
        <v>SUBVENTIONS,QUOTES-PARTS ET CONTRIB.,ALLOC, INDEMNISATIONS</v>
      </c>
      <c r="F227" s="60" t="e">
        <f>SUMIFS([49]mensuel_section_article1!$E$3:$E$962,[49]mensuel_section_article1!$B$3:$B$962,C227,[49]mensuel_section_article1!$C$3:$C$962,D227)</f>
        <v>#VALUE!</v>
      </c>
      <c r="G227" s="60" t="e">
        <f>SUMIFS([49]mensuel_section_article1!$G$3:$G$962,[49]mensuel_section_article1!$B$3:$B$962,C227,[49]mensuel_section_article1!$C$3:$C$962,D227)</f>
        <v>#VALUE!</v>
      </c>
      <c r="H227" s="60">
        <v>0</v>
      </c>
      <c r="I227" s="60">
        <v>0</v>
      </c>
      <c r="J227" s="60">
        <v>0</v>
      </c>
      <c r="K227" s="60">
        <f t="shared" si="124"/>
        <v>0</v>
      </c>
      <c r="L227" s="61" t="e">
        <f>IF(F227&lt;&gt;0,K227/F227,0)</f>
        <v>#VALUE!</v>
      </c>
      <c r="M227" s="60" t="e">
        <f>+SUMIFS([51]section_article!$H$10:$H$936,[51]section_article!$C$10:$C$936,C227,[51]section_article!$D$10:$D$936,D227)</f>
        <v>#VALUE!</v>
      </c>
      <c r="N227" s="24" t="e">
        <f>+J227-M227</f>
        <v>#VALUE!</v>
      </c>
      <c r="O227" s="9"/>
      <c r="Q227" s="63"/>
      <c r="AK227" s="64"/>
      <c r="AL227" s="64"/>
      <c r="AM227" s="64"/>
      <c r="AN227" s="64"/>
      <c r="AO227" s="11">
        <v>1114120</v>
      </c>
      <c r="AP227" s="65" t="str">
        <f>CONCATENATE(AO227,D227)</f>
        <v>11141207</v>
      </c>
    </row>
    <row r="228" spans="1:42" s="1" customFormat="1" ht="27.75" customHeight="1" thickTop="1" thickBot="1" x14ac:dyDescent="0.3">
      <c r="A228" s="50" t="s">
        <v>20</v>
      </c>
      <c r="B228" s="50" t="s">
        <v>20</v>
      </c>
      <c r="C228" s="50" t="s">
        <v>20</v>
      </c>
      <c r="D228" s="51">
        <v>1114121</v>
      </c>
      <c r="E228" s="67" t="s">
        <v>50</v>
      </c>
      <c r="F228" s="68" t="e">
        <f>SUMIF($B$229:$B$231,"article",F229:F231)</f>
        <v>#VALUE!</v>
      </c>
      <c r="G228" s="68" t="e">
        <f>SUMIF($B$229:$B$231,"article",G229:G231)</f>
        <v>#VALUE!</v>
      </c>
      <c r="H228" s="68">
        <f>SUMIF($B$229:$B$231,"article",H229:H231)</f>
        <v>331615128.676</v>
      </c>
      <c r="I228" s="68">
        <v>332015128.60000002</v>
      </c>
      <c r="J228" s="68">
        <f>SUMIF($B$229:$B$231,"article",J229:J231)</f>
        <v>260005097.19</v>
      </c>
      <c r="K228" s="68">
        <f>SUMIF($B$229:$B$231,"article",K229:K231)</f>
        <v>71610031.486000031</v>
      </c>
      <c r="L228" s="69">
        <f>+J228/H228</f>
        <v>0.78405680171496162</v>
      </c>
      <c r="M228" s="68"/>
      <c r="N228" s="68"/>
      <c r="O228" s="9"/>
      <c r="Q228" s="23"/>
      <c r="AK228" s="70"/>
      <c r="AL228" s="70"/>
      <c r="AM228" s="70"/>
      <c r="AN228" s="70"/>
      <c r="AO228" s="11">
        <v>1114121</v>
      </c>
    </row>
    <row r="229" spans="1:42" s="62" customFormat="1" ht="27.75" customHeight="1" thickTop="1" thickBot="1" x14ac:dyDescent="0.3">
      <c r="A229" s="56" t="s">
        <v>22</v>
      </c>
      <c r="B229" s="56" t="s">
        <v>22</v>
      </c>
      <c r="C229" s="57">
        <f>IF(A228="SECTION",D228,C228)</f>
        <v>1114121</v>
      </c>
      <c r="D229" s="58">
        <v>1</v>
      </c>
      <c r="E229" s="59" t="str">
        <f>IF(D229=1, "DEPENSES DE PERSONNEL",  +IF(D229=2,"DEPENSES DE SERVICES ET CHARGES DIVERSES", +IF(D229=3,"ACHATS DE BIENS DE CONSOMMATION ET PETITS MATERIELS",+IF(D229=4,"IMMOBILISATION CORPORELLE",+IF(D229=5,"IMMOBILISATION INCORPORELLE",+IF(D229=7,"SUBVENTIONS,QUOTES-PARTS ET CONTRIB.,ALLOC, INDEMNISATIONS",+IF(D229=8,"AMORTISSEMENT DE LA DETTE",+IF(D229=9,"AUTRES DEPENSES PUBLIQUES",0))))))))</f>
        <v>DEPENSES DE PERSONNEL</v>
      </c>
      <c r="F229" s="60" t="e">
        <f>SUMIFS([49]mensuel_section_article1!$E$3:$E$962,[49]mensuel_section_article1!$B$3:$B$962,C229,[49]mensuel_section_article1!$C$3:$C$962,D229)</f>
        <v>#VALUE!</v>
      </c>
      <c r="G229" s="60" t="e">
        <f>SUMIFS([49]mensuel_section_article1!$G$3:$G$962,[49]mensuel_section_article1!$B$3:$B$962,C229,[49]mensuel_section_article1!$C$3:$C$962,D229)</f>
        <v>#VALUE!</v>
      </c>
      <c r="H229" s="60">
        <v>258064798.64000002</v>
      </c>
      <c r="I229" s="60">
        <v>258464798.59999999</v>
      </c>
      <c r="J229" s="60">
        <v>243040413.91999999</v>
      </c>
      <c r="K229" s="60">
        <f t="shared" ref="K229:K231" si="125">+H229-J229</f>
        <v>15024384.720000029</v>
      </c>
      <c r="L229" s="61">
        <f>+J229/H229</f>
        <v>0.94178057294455331</v>
      </c>
      <c r="M229" s="60"/>
      <c r="N229" s="24"/>
      <c r="O229" s="9"/>
      <c r="Q229" s="63"/>
      <c r="AK229" s="64"/>
      <c r="AL229" s="64"/>
      <c r="AM229" s="64"/>
      <c r="AN229" s="64"/>
      <c r="AO229" s="11">
        <v>1114121</v>
      </c>
      <c r="AP229" s="65" t="str">
        <f>CONCATENATE(AO229,D229)</f>
        <v>11141211</v>
      </c>
    </row>
    <row r="230" spans="1:42" s="62" customFormat="1" ht="27.75" customHeight="1" thickTop="1" thickBot="1" x14ac:dyDescent="0.3">
      <c r="A230" s="56" t="s">
        <v>22</v>
      </c>
      <c r="B230" s="56" t="s">
        <v>22</v>
      </c>
      <c r="C230" s="57">
        <f>IF(A228="SECTION",D228,C228)</f>
        <v>1114121</v>
      </c>
      <c r="D230" s="58">
        <v>2</v>
      </c>
      <c r="E230" s="59" t="str">
        <f>IF(D230=1, "DEPENSES DE PERSONNEL",  +IF(D230=2,"DEPENSES DE SERVICES ET CHARGES DIVERSES", +IF(D230=3,"ACHATS DE BIENS DE CONSOMMATION ET PETITS MATERIELS",+IF(D230=4,"IMMOBILISATION CORPORELLE",+IF(D230=5,"IMMOBILISATION INCORPORELLE",+IF(D230=7,"SUBVENTIONS,QUOTES-PARTS ET CONTRIB.,ALLOC, INDEMNISATIONS",+IF(D230=8,"AMORTISSEMENT DE LA DETTE",+IF(D230=9,"AUTRES DEPENSES PUBLIQUES",0))))))))</f>
        <v>DEPENSES DE SERVICES ET CHARGES DIVERSES</v>
      </c>
      <c r="F230" s="60" t="e">
        <f>SUMIFS([49]mensuel_section_article1!$E$3:$E$962,[49]mensuel_section_article1!$B$3:$B$962,C230,[49]mensuel_section_article1!$C$3:$C$962,D230)</f>
        <v>#VALUE!</v>
      </c>
      <c r="G230" s="60" t="e">
        <f>SUMIFS([49]mensuel_section_article1!$G$3:$G$962,[49]mensuel_section_article1!$B$3:$B$962,C230,[49]mensuel_section_article1!$C$3:$C$962,D230)</f>
        <v>#VALUE!</v>
      </c>
      <c r="H230" s="60">
        <v>73550330.035999998</v>
      </c>
      <c r="I230" s="60">
        <v>73550330</v>
      </c>
      <c r="J230" s="60">
        <v>16964683.27</v>
      </c>
      <c r="K230" s="60">
        <f t="shared" si="125"/>
        <v>56585646.766000003</v>
      </c>
      <c r="L230" s="61">
        <f>+J230/H230</f>
        <v>0.23065407404285546</v>
      </c>
      <c r="M230" s="60"/>
      <c r="N230" s="24"/>
      <c r="O230" s="9"/>
      <c r="Q230" s="63"/>
      <c r="AK230" s="64"/>
      <c r="AL230" s="64"/>
      <c r="AM230" s="64"/>
      <c r="AN230" s="64"/>
      <c r="AO230" s="11">
        <v>1114121</v>
      </c>
      <c r="AP230" s="65" t="str">
        <f>CONCATENATE(AO230,D230)</f>
        <v>11141212</v>
      </c>
    </row>
    <row r="231" spans="1:42" s="62" customFormat="1" ht="27.75" hidden="1" customHeight="1" thickTop="1" thickBot="1" x14ac:dyDescent="0.3">
      <c r="A231" s="56" t="s">
        <v>22</v>
      </c>
      <c r="B231" s="56" t="s">
        <v>22</v>
      </c>
      <c r="C231" s="57">
        <f>IF(A229="SECTION",D229,C229)</f>
        <v>1114121</v>
      </c>
      <c r="D231" s="58">
        <v>7</v>
      </c>
      <c r="E231" s="59" t="str">
        <f>IF(D231=1, "DEPENSES DE PERSONNEL",  +IF(D231=2,"DEPENSES DE SERVICES ET CHARGES DIVERSES", +IF(D231=3,"ACHATS DE BIENS DE CONSOMMATION ET PETITS MATERIELS",+IF(D231=4,"IMMOBILISATION CORPORELLE",+IF(D231=5,"IMMOBILISATION INCORPORELLE",+IF(D231=7,"SUBVENTIONS,QUOTES-PARTS ET CONTRIB.,ALLOC, INDEMNISATIONS",+IF(D231=8,"AMORTISSEMENT DE LA DETTE",+IF(D231=9,"AUTRES DEPENSES PUBLIQUES",0))))))))</f>
        <v>SUBVENTIONS,QUOTES-PARTS ET CONTRIB.,ALLOC, INDEMNISATIONS</v>
      </c>
      <c r="F231" s="60" t="e">
        <f>SUMIFS([49]mensuel_section_article1!$E$3:$E$962,[49]mensuel_section_article1!$B$3:$B$962,C231,[49]mensuel_section_article1!$C$3:$C$962,D231)</f>
        <v>#VALUE!</v>
      </c>
      <c r="G231" s="60" t="e">
        <f>SUMIFS([49]mensuel_section_article1!$G$3:$G$962,[49]mensuel_section_article1!$B$3:$B$962,C231,[49]mensuel_section_article1!$C$3:$C$962,D231)</f>
        <v>#VALUE!</v>
      </c>
      <c r="H231" s="60">
        <v>0</v>
      </c>
      <c r="I231" s="60">
        <v>0</v>
      </c>
      <c r="J231" s="60">
        <v>0</v>
      </c>
      <c r="K231" s="60">
        <f t="shared" si="125"/>
        <v>0</v>
      </c>
      <c r="L231" s="61" t="e">
        <f>IF(F231&lt;&gt;0,K231/F231,0)</f>
        <v>#VALUE!</v>
      </c>
      <c r="M231" s="60" t="e">
        <f>+SUMIFS([51]section_article!$H$10:$H$936,[51]section_article!$C$10:$C$936,C231,[51]section_article!$D$10:$D$936,D231)</f>
        <v>#VALUE!</v>
      </c>
      <c r="N231" s="24" t="e">
        <f>+J231-M231</f>
        <v>#VALUE!</v>
      </c>
      <c r="O231" s="9"/>
      <c r="Q231" s="63"/>
      <c r="AK231" s="64"/>
      <c r="AL231" s="64"/>
      <c r="AM231" s="64"/>
      <c r="AN231" s="64"/>
      <c r="AO231" s="11">
        <v>1114121</v>
      </c>
      <c r="AP231" s="65" t="str">
        <f>CONCATENATE(AO231,D231)</f>
        <v>11141217</v>
      </c>
    </row>
    <row r="232" spans="1:42" s="1" customFormat="1" ht="27.75" customHeight="1" thickTop="1" thickBot="1" x14ac:dyDescent="0.3">
      <c r="A232" s="50" t="s">
        <v>20</v>
      </c>
      <c r="B232" s="50" t="s">
        <v>20</v>
      </c>
      <c r="C232" s="50" t="s">
        <v>20</v>
      </c>
      <c r="D232" s="51">
        <v>1114122</v>
      </c>
      <c r="E232" s="67" t="s">
        <v>51</v>
      </c>
      <c r="F232" s="68" t="e">
        <f>SUMIF($B$237:$B$239,"article",F233:F235)</f>
        <v>#VALUE!</v>
      </c>
      <c r="G232" s="68" t="e">
        <f>SUMIF($B$237:$B$239,"article",G233:G235)</f>
        <v>#VALUE!</v>
      </c>
      <c r="H232" s="68">
        <f>SUMIF($B$237:$B$239,"article",H233:H235)</f>
        <v>114000000.03999999</v>
      </c>
      <c r="I232" s="68">
        <v>114000000</v>
      </c>
      <c r="J232" s="68">
        <f>SUMIF($B$237:$B$239,"article",J233:J235)</f>
        <v>60170467.119999997</v>
      </c>
      <c r="K232" s="68">
        <f>SUMIF($B$237:$B$239,"article",K233:K235)</f>
        <v>53829532.920000002</v>
      </c>
      <c r="L232" s="69">
        <f>+J232/H232</f>
        <v>0.52781111490252242</v>
      </c>
      <c r="M232" s="68"/>
      <c r="N232" s="68"/>
      <c r="O232" s="9"/>
      <c r="Q232" s="23"/>
      <c r="AK232" s="70"/>
      <c r="AL232" s="70"/>
      <c r="AM232" s="70"/>
      <c r="AN232" s="70"/>
      <c r="AO232" s="11">
        <v>1114122</v>
      </c>
    </row>
    <row r="233" spans="1:42" s="62" customFormat="1" ht="27.75" customHeight="1" thickTop="1" thickBot="1" x14ac:dyDescent="0.3">
      <c r="A233" s="56" t="s">
        <v>22</v>
      </c>
      <c r="B233" s="56" t="s">
        <v>22</v>
      </c>
      <c r="C233" s="57">
        <f>IF(A232="SECTION",D232,C232)</f>
        <v>1114122</v>
      </c>
      <c r="D233" s="58">
        <v>1</v>
      </c>
      <c r="E233" s="59" t="str">
        <f>IF(D233=1, "DEPENSES DE PERSONNEL",  +IF(D233=2,"DEPENSES DE SERVICES ET CHARGES DIVERSES", +IF(D233=3,"ACHATS DE BIENS DE CONSOMMATION ET PETITS MATERIELS",+IF(D233=4,"IMMOBILISATION CORPORELLE",+IF(D233=5,"IMMOBILISATION INCORPORELLE",+IF(D233=7,"SUBVENTIONS,QUOTES-PARTS ET CONTRIB.,ALLOC, INDEMNISATIONS",+IF(D233=8,"AMORTISSEMENT DE LA DETTE",+IF(D233=9,"AUTRES DEPENSES PUBLIQUES",0))))))))</f>
        <v>DEPENSES DE PERSONNEL</v>
      </c>
      <c r="F233" s="60" t="e">
        <f>SUMIFS([49]mensuel_section_article1!$E$3:$E$962,[49]mensuel_section_article1!$B$3:$B$962,C233,[49]mensuel_section_article1!$C$3:$C$962,D233)</f>
        <v>#VALUE!</v>
      </c>
      <c r="G233" s="60" t="e">
        <f>SUMIFS([49]mensuel_section_article1!$G$3:$G$962,[49]mensuel_section_article1!$B$3:$B$962,C233,[49]mensuel_section_article1!$C$3:$C$962,D233)</f>
        <v>#VALUE!</v>
      </c>
      <c r="H233" s="60">
        <v>57000000.039999999</v>
      </c>
      <c r="I233" s="60">
        <v>57000000</v>
      </c>
      <c r="J233" s="60">
        <v>51638217.109999999</v>
      </c>
      <c r="K233" s="60">
        <f t="shared" ref="K233:K235" si="126">+H233-J233</f>
        <v>5361782.93</v>
      </c>
      <c r="L233" s="61">
        <f>+J233/H233</f>
        <v>0.90593363287302908</v>
      </c>
      <c r="M233" s="60"/>
      <c r="N233" s="24"/>
      <c r="O233" s="9"/>
      <c r="Q233" s="63"/>
      <c r="AK233" s="64"/>
      <c r="AL233" s="64"/>
      <c r="AM233" s="64"/>
      <c r="AN233" s="64"/>
      <c r="AO233" s="11">
        <v>1114122</v>
      </c>
      <c r="AP233" s="65" t="str">
        <f>CONCATENATE(AO233,D233)</f>
        <v>11141221</v>
      </c>
    </row>
    <row r="234" spans="1:42" s="62" customFormat="1" ht="27.75" customHeight="1" thickTop="1" thickBot="1" x14ac:dyDescent="0.3">
      <c r="A234" s="56" t="s">
        <v>22</v>
      </c>
      <c r="B234" s="56" t="s">
        <v>22</v>
      </c>
      <c r="C234" s="57">
        <f>IF(A232="SECTION",D232,C232)</f>
        <v>1114122</v>
      </c>
      <c r="D234" s="58">
        <v>2</v>
      </c>
      <c r="E234" s="59" t="str">
        <f>IF(D234=1, "DEPENSES DE PERSONNEL",  +IF(D234=2,"DEPENSES DE SERVICES ET CHARGES DIVERSES", +IF(D234=3,"ACHATS DE BIENS DE CONSOMMATION ET PETITS MATERIELS",+IF(D234=4,"IMMOBILISATION CORPORELLE",+IF(D234=5,"IMMOBILISATION INCORPORELLE",+IF(D234=7,"SUBVENTIONS,QUOTES-PARTS ET CONTRIB.,ALLOC, INDEMNISATIONS",+IF(D234=8,"AMORTISSEMENT DE LA DETTE",+IF(D234=9,"AUTRES DEPENSES PUBLIQUES",0))))))))</f>
        <v>DEPENSES DE SERVICES ET CHARGES DIVERSES</v>
      </c>
      <c r="F234" s="60" t="e">
        <f>SUMIFS([49]mensuel_section_article1!$E$3:$E$962,[49]mensuel_section_article1!$B$3:$B$962,C234,[49]mensuel_section_article1!$C$3:$C$962,D234)</f>
        <v>#VALUE!</v>
      </c>
      <c r="G234" s="60" t="e">
        <f>SUMIFS([49]mensuel_section_article1!$G$3:$G$962,[49]mensuel_section_article1!$B$3:$B$962,C234,[49]mensuel_section_article1!$C$3:$C$962,D234)</f>
        <v>#VALUE!</v>
      </c>
      <c r="H234" s="60">
        <v>57000000</v>
      </c>
      <c r="I234" s="60">
        <v>57000000</v>
      </c>
      <c r="J234" s="60">
        <v>8532250.0099999998</v>
      </c>
      <c r="K234" s="60">
        <f t="shared" si="126"/>
        <v>48467749.990000002</v>
      </c>
      <c r="L234" s="61">
        <f>+J234/H234</f>
        <v>0.14968859666666667</v>
      </c>
      <c r="M234" s="60"/>
      <c r="N234" s="24"/>
      <c r="O234" s="9"/>
      <c r="Q234" s="63"/>
      <c r="AK234" s="64"/>
      <c r="AL234" s="64"/>
      <c r="AM234" s="64"/>
      <c r="AN234" s="64"/>
      <c r="AO234" s="11">
        <v>1114122</v>
      </c>
      <c r="AP234" s="65" t="str">
        <f>CONCATENATE(AO234,D234)</f>
        <v>11141222</v>
      </c>
    </row>
    <row r="235" spans="1:42" s="62" customFormat="1" ht="27.75" hidden="1" customHeight="1" thickTop="1" thickBot="1" x14ac:dyDescent="0.3">
      <c r="A235" s="56" t="s">
        <v>22</v>
      </c>
      <c r="B235" s="56" t="s">
        <v>22</v>
      </c>
      <c r="C235" s="57">
        <f>IF(A233="SECTION",D233,C233)</f>
        <v>1114122</v>
      </c>
      <c r="D235" s="58">
        <v>7</v>
      </c>
      <c r="E235" s="59" t="str">
        <f>IF(D235=1, "DEPENSES DE PERSONNEL",  +IF(D235=2,"DEPENSES DE SERVICES ET CHARGES DIVERSES", +IF(D235=3,"ACHATS DE BIENS DE CONSOMMATION ET PETITS MATERIELS",+IF(D235=4,"IMMOBILISATION CORPORELLE",+IF(D235=5,"IMMOBILISATION INCORPORELLE",+IF(D235=7,"SUBVENTIONS,QUOTES-PARTS ET CONTRIB.,ALLOC, INDEMNISATIONS",+IF(D235=8,"AMORTISSEMENT DE LA DETTE",+IF(D235=9,"AUTRES DEPENSES PUBLIQUES",0))))))))</f>
        <v>SUBVENTIONS,QUOTES-PARTS ET CONTRIB.,ALLOC, INDEMNISATIONS</v>
      </c>
      <c r="F235" s="60" t="e">
        <f>SUMIFS([49]mensuel_section_article1!$E$3:$E$962,[49]mensuel_section_article1!$B$3:$B$962,C235,[49]mensuel_section_article1!$C$3:$C$962,D235)</f>
        <v>#VALUE!</v>
      </c>
      <c r="G235" s="60" t="e">
        <f>SUMIFS([49]mensuel_section_article1!$G$3:$G$962,[49]mensuel_section_article1!$B$3:$B$962,C235,[49]mensuel_section_article1!$C$3:$C$962,D235)</f>
        <v>#VALUE!</v>
      </c>
      <c r="H235" s="60">
        <v>0</v>
      </c>
      <c r="I235" s="60">
        <v>0</v>
      </c>
      <c r="J235" s="60">
        <v>0</v>
      </c>
      <c r="K235" s="60">
        <f t="shared" si="126"/>
        <v>0</v>
      </c>
      <c r="L235" s="61" t="e">
        <f>IF(F235&lt;&gt;0,K235/F235,0)</f>
        <v>#VALUE!</v>
      </c>
      <c r="M235" s="60" t="e">
        <f>+SUMIFS([51]section_article!$H$10:$H$936,[51]section_article!$C$10:$C$936,C235,[51]section_article!$D$10:$D$936,D235)</f>
        <v>#VALUE!</v>
      </c>
      <c r="N235" s="24" t="e">
        <f>+J235-M235</f>
        <v>#VALUE!</v>
      </c>
      <c r="O235" s="9"/>
      <c r="Q235" s="63"/>
      <c r="AK235" s="64"/>
      <c r="AL235" s="64"/>
      <c r="AM235" s="64"/>
      <c r="AN235" s="64"/>
      <c r="AO235" s="11">
        <v>1114122</v>
      </c>
      <c r="AP235" s="65" t="str">
        <f>CONCATENATE(AO235,D235)</f>
        <v>11141227</v>
      </c>
    </row>
    <row r="236" spans="1:42" s="1" customFormat="1" ht="27.75" hidden="1" customHeight="1" thickTop="1" thickBot="1" x14ac:dyDescent="0.3">
      <c r="A236" s="50" t="s">
        <v>20</v>
      </c>
      <c r="B236" s="50" t="s">
        <v>20</v>
      </c>
      <c r="C236" s="50" t="s">
        <v>20</v>
      </c>
      <c r="D236" s="51">
        <v>1114123</v>
      </c>
      <c r="E236" s="67" t="s">
        <v>52</v>
      </c>
      <c r="F236" s="68" t="e">
        <f>SUMIF($B$237:$B$239,"article",F237:F239)</f>
        <v>#VALUE!</v>
      </c>
      <c r="G236" s="68" t="e">
        <f>SUMIF($B$237:$B$239,"article",G237:G239)</f>
        <v>#VALUE!</v>
      </c>
      <c r="H236" s="68">
        <f>SUMIF($B$237:$B$239,"article",H237:H239)</f>
        <v>0</v>
      </c>
      <c r="I236" s="68">
        <v>0</v>
      </c>
      <c r="J236" s="68">
        <f>SUMIF($B$237:$B$239,"article",J237:J239)</f>
        <v>0</v>
      </c>
      <c r="K236" s="68">
        <f>SUMIF($B$237:$B$239,"article",K237:K239)</f>
        <v>0</v>
      </c>
      <c r="L236" s="69" t="e">
        <f>IF(F236&lt;&gt;0,K236/F236,0)</f>
        <v>#VALUE!</v>
      </c>
      <c r="M236" s="68" t="e">
        <f>SUMIF($B$237:$B$239,"article",M237:M239)</f>
        <v>#VALUE!</v>
      </c>
      <c r="N236" s="68" t="e">
        <f>SUMIF($B$237:$B$239,"article",N237:N239)</f>
        <v>#VALUE!</v>
      </c>
      <c r="O236" s="9"/>
      <c r="Q236" s="23"/>
      <c r="AK236" s="70"/>
      <c r="AL236" s="70"/>
      <c r="AM236" s="70"/>
      <c r="AN236" s="70"/>
      <c r="AO236" s="11">
        <v>1114122</v>
      </c>
    </row>
    <row r="237" spans="1:42" s="62" customFormat="1" ht="27.75" hidden="1" customHeight="1" thickTop="1" thickBot="1" x14ac:dyDescent="0.3">
      <c r="A237" s="56" t="s">
        <v>22</v>
      </c>
      <c r="B237" s="56" t="s">
        <v>22</v>
      </c>
      <c r="C237" s="57">
        <f>IF(A236="SECTION",D236,C236)</f>
        <v>1114123</v>
      </c>
      <c r="D237" s="58">
        <v>1</v>
      </c>
      <c r="E237" s="59" t="str">
        <f>IF(D237=1, "DEPENSES DE PERSONNEL",  +IF(D237=2,"DEPENSES DE SERVICES ET CHARGES DIVERSES", +IF(D237=3,"ACHATS DE BIENS DE CONSOMMATION ET PETITS MATERIELS",+IF(D237=4,"IMMOBILISATION CORPORELLE",+IF(D237=5,"IMMOBILISATION INCORPORELLE",+IF(D237=7,"SUBVENTIONS,QUOTES-PARTS ET CONTRIB.,ALLOC, INDEMNISATIONS",+IF(D237=8,"AMORTISSEMENT DE LA DETTE",+IF(D237=9,"AUTRES DEPENSES PUBLIQUES",0))))))))</f>
        <v>DEPENSES DE PERSONNEL</v>
      </c>
      <c r="F237" s="60" t="e">
        <f>SUMIFS([49]mensuel_section_article1!$E$3:$E$962,[49]mensuel_section_article1!$B$3:$B$962,C237,[49]mensuel_section_article1!$C$3:$C$962,D237)</f>
        <v>#VALUE!</v>
      </c>
      <c r="G237" s="60" t="e">
        <f>SUMIFS([49]mensuel_section_article1!$G$3:$G$962,[49]mensuel_section_article1!$B$3:$B$962,C237,[49]mensuel_section_article1!$C$3:$C$962,D237)</f>
        <v>#VALUE!</v>
      </c>
      <c r="H237" s="60">
        <v>0</v>
      </c>
      <c r="I237" s="60">
        <v>0</v>
      </c>
      <c r="J237" s="60">
        <v>0</v>
      </c>
      <c r="K237" s="60">
        <f t="shared" ref="K237:K239" si="127">+H237-J237</f>
        <v>0</v>
      </c>
      <c r="L237" s="61" t="e">
        <f>IF(F237&lt;&gt;0,K237/F237,0)</f>
        <v>#VALUE!</v>
      </c>
      <c r="M237" s="60" t="e">
        <f>+SUMIFS([51]section_article!$H$10:$H$936,[51]section_article!$C$10:$C$936,C237,[51]section_article!$D$10:$D$936,D237)</f>
        <v>#VALUE!</v>
      </c>
      <c r="N237" s="24" t="e">
        <f>+J237-M237</f>
        <v>#VALUE!</v>
      </c>
      <c r="O237" s="9"/>
      <c r="Q237" s="63"/>
      <c r="AK237" s="64"/>
      <c r="AL237" s="64"/>
      <c r="AM237" s="64"/>
      <c r="AN237" s="64"/>
      <c r="AO237" s="11">
        <v>1114122</v>
      </c>
      <c r="AP237" s="65" t="str">
        <f>CONCATENATE(AO237,D237)</f>
        <v>11141221</v>
      </c>
    </row>
    <row r="238" spans="1:42" s="62" customFormat="1" ht="27.75" hidden="1" customHeight="1" thickTop="1" thickBot="1" x14ac:dyDescent="0.3">
      <c r="A238" s="56" t="s">
        <v>22</v>
      </c>
      <c r="B238" s="56" t="s">
        <v>22</v>
      </c>
      <c r="C238" s="57">
        <f>IF(A236="SECTION",D236,C236)</f>
        <v>1114123</v>
      </c>
      <c r="D238" s="58">
        <v>2</v>
      </c>
      <c r="E238" s="59" t="str">
        <f>IF(D238=1, "DEPENSES DE PERSONNEL",  +IF(D238=2,"DEPENSES DE SERVICES ET CHARGES DIVERSES", +IF(D238=3,"ACHATS DE BIENS DE CONSOMMATION ET PETITS MATERIELS",+IF(D238=4,"IMMOBILISATION CORPORELLE",+IF(D238=5,"IMMOBILISATION INCORPORELLE",+IF(D238=7,"SUBVENTIONS,QUOTES-PARTS ET CONTRIB.,ALLOC, INDEMNISATIONS",+IF(D238=8,"AMORTISSEMENT DE LA DETTE",+IF(D238=9,"AUTRES DEPENSES PUBLIQUES",0))))))))</f>
        <v>DEPENSES DE SERVICES ET CHARGES DIVERSES</v>
      </c>
      <c r="F238" s="60" t="e">
        <f>SUMIFS([49]mensuel_section_article1!$E$3:$E$962,[49]mensuel_section_article1!$B$3:$B$962,C238,[49]mensuel_section_article1!$C$3:$C$962,D238)</f>
        <v>#VALUE!</v>
      </c>
      <c r="G238" s="60" t="e">
        <f>SUMIFS([49]mensuel_section_article1!$G$3:$G$962,[49]mensuel_section_article1!$B$3:$B$962,C238,[49]mensuel_section_article1!$C$3:$C$962,D238)</f>
        <v>#VALUE!</v>
      </c>
      <c r="H238" s="60">
        <v>0</v>
      </c>
      <c r="I238" s="60">
        <v>0</v>
      </c>
      <c r="J238" s="60">
        <v>0</v>
      </c>
      <c r="K238" s="60">
        <f t="shared" si="127"/>
        <v>0</v>
      </c>
      <c r="L238" s="61" t="e">
        <f>IF(F238&lt;&gt;0,K238/F238,0)</f>
        <v>#VALUE!</v>
      </c>
      <c r="M238" s="60" t="e">
        <f>+SUMIFS([51]section_article!$H$10:$H$936,[51]section_article!$C$10:$C$936,C238,[51]section_article!$D$10:$D$936,D238)</f>
        <v>#VALUE!</v>
      </c>
      <c r="N238" s="24" t="e">
        <f>+J238-M238</f>
        <v>#VALUE!</v>
      </c>
      <c r="O238" s="9"/>
      <c r="Q238" s="63"/>
      <c r="AK238" s="64"/>
      <c r="AL238" s="64"/>
      <c r="AM238" s="64"/>
      <c r="AN238" s="64"/>
      <c r="AO238" s="11">
        <v>1114122</v>
      </c>
      <c r="AP238" s="65" t="str">
        <f>CONCATENATE(AO238,D238)</f>
        <v>11141222</v>
      </c>
    </row>
    <row r="239" spans="1:42" s="62" customFormat="1" ht="27.75" hidden="1" customHeight="1" thickTop="1" thickBot="1" x14ac:dyDescent="0.3">
      <c r="A239" s="56" t="s">
        <v>22</v>
      </c>
      <c r="B239" s="56" t="s">
        <v>22</v>
      </c>
      <c r="C239" s="57">
        <f>IF(A237="SECTION",D237,C237)</f>
        <v>1114123</v>
      </c>
      <c r="D239" s="58">
        <v>7</v>
      </c>
      <c r="E239" s="59" t="str">
        <f>IF(D239=1, "DEPENSES DE PERSONNEL",  +IF(D239=2,"DEPENSES DE SERVICES ET CHARGES DIVERSES", +IF(D239=3,"ACHATS DE BIENS DE CONSOMMATION ET PETITS MATERIELS",+IF(D239=4,"IMMOBILISATION CORPORELLE",+IF(D239=5,"IMMOBILISATION INCORPORELLE",+IF(D239=7,"SUBVENTIONS,QUOTES-PARTS ET CONTRIB.,ALLOC, INDEMNISATIONS",+IF(D239=8,"AMORTISSEMENT DE LA DETTE",+IF(D239=9,"AUTRES DEPENSES PUBLIQUES",0))))))))</f>
        <v>SUBVENTIONS,QUOTES-PARTS ET CONTRIB.,ALLOC, INDEMNISATIONS</v>
      </c>
      <c r="F239" s="60" t="e">
        <f>SUMIFS([49]mensuel_section_article1!$E$3:$E$962,[49]mensuel_section_article1!$B$3:$B$962,C239,[49]mensuel_section_article1!$C$3:$C$962,D239)</f>
        <v>#VALUE!</v>
      </c>
      <c r="G239" s="60" t="e">
        <f>SUMIFS([49]mensuel_section_article1!$G$3:$G$962,[49]mensuel_section_article1!$B$3:$B$962,C239,[49]mensuel_section_article1!$C$3:$C$962,D239)</f>
        <v>#VALUE!</v>
      </c>
      <c r="H239" s="60">
        <v>0</v>
      </c>
      <c r="I239" s="60">
        <v>0</v>
      </c>
      <c r="J239" s="60">
        <v>0</v>
      </c>
      <c r="K239" s="60">
        <f t="shared" si="127"/>
        <v>0</v>
      </c>
      <c r="L239" s="61" t="e">
        <f>IF(F239&lt;&gt;0,K239/F239,0)</f>
        <v>#VALUE!</v>
      </c>
      <c r="M239" s="60" t="e">
        <f>+SUMIFS([51]section_article!$H$10:$H$936,[51]section_article!$C$10:$C$936,C239,[51]section_article!$D$10:$D$936,D239)</f>
        <v>#VALUE!</v>
      </c>
      <c r="N239" s="24" t="e">
        <f>+J239-M239</f>
        <v>#VALUE!</v>
      </c>
      <c r="O239" s="9"/>
      <c r="Q239" s="63"/>
      <c r="AK239" s="64"/>
      <c r="AL239" s="64"/>
      <c r="AM239" s="64"/>
      <c r="AN239" s="64"/>
      <c r="AO239" s="11">
        <v>1114122</v>
      </c>
      <c r="AP239" s="65" t="str">
        <f>CONCATENATE(AO239,D239)</f>
        <v>11141227</v>
      </c>
    </row>
    <row r="240" spans="1:42" s="1" customFormat="1" ht="27.75" customHeight="1" thickTop="1" x14ac:dyDescent="0.25">
      <c r="A240" s="50" t="s">
        <v>16</v>
      </c>
      <c r="B240" s="50" t="s">
        <v>16</v>
      </c>
      <c r="C240" s="50" t="s">
        <v>16</v>
      </c>
      <c r="D240" s="73">
        <v>1115</v>
      </c>
      <c r="E240" s="74" t="s">
        <v>53</v>
      </c>
      <c r="F240" s="75" t="e">
        <f>SUMIF($B$241:$B$269,"chap",F241:F269)</f>
        <v>#VALUE!</v>
      </c>
      <c r="G240" s="75" t="e">
        <f>SUMIF($B$241:$B$269,"chap",G241:G269)</f>
        <v>#VALUE!</v>
      </c>
      <c r="H240" s="75">
        <f>SUMIF($B$241:$B$269,"chap",H241:H269)</f>
        <v>581710435.78543365</v>
      </c>
      <c r="I240" s="75">
        <v>581710435.69999993</v>
      </c>
      <c r="J240" s="75">
        <f>SUMIF($B$241:$B$269,"chap",J241:J269)</f>
        <v>567449672.12</v>
      </c>
      <c r="K240" s="75">
        <f>SUMIF($B$241:$B$269,"chap",K241:K269)</f>
        <v>14260763.665433694</v>
      </c>
      <c r="L240" s="76">
        <f t="shared" ref="L240:L246" si="128">+J240/H240</f>
        <v>0.97548477251198262</v>
      </c>
      <c r="M240" s="75"/>
      <c r="N240" s="75"/>
      <c r="O240" s="9"/>
      <c r="Q240" s="23"/>
      <c r="AK240" s="77"/>
      <c r="AL240" s="77"/>
      <c r="AM240" s="77"/>
      <c r="AN240" s="77"/>
      <c r="AO240" s="11"/>
    </row>
    <row r="241" spans="1:42" s="49" customFormat="1" ht="27.75" customHeight="1" x14ac:dyDescent="0.25">
      <c r="A241" s="43" t="s">
        <v>19</v>
      </c>
      <c r="B241" s="43" t="s">
        <v>19</v>
      </c>
      <c r="C241" s="43" t="s">
        <v>19</v>
      </c>
      <c r="D241" s="44">
        <v>11151</v>
      </c>
      <c r="E241" s="45" t="str">
        <f>VLOOKUP(D241,[49]INST!$A$1:$B$626,2,FALSE)</f>
        <v>SERVICES INTERNES</v>
      </c>
      <c r="F241" s="46" t="e">
        <f>SUMIF($B$242:$B$269,"section",F242:F269)</f>
        <v>#VALUE!</v>
      </c>
      <c r="G241" s="46" t="e">
        <f>SUMIF($B$242:$B$269,"section",G242:G269)</f>
        <v>#VALUE!</v>
      </c>
      <c r="H241" s="46">
        <f>SUMIF($B$242:$B$269,"section",H242:H269)</f>
        <v>581710435.78543365</v>
      </c>
      <c r="I241" s="46">
        <v>581710435.69999993</v>
      </c>
      <c r="J241" s="46">
        <f>SUMIF($B$242:$B$269,"section",J242:J269)</f>
        <v>567449672.12</v>
      </c>
      <c r="K241" s="46">
        <f>SUMIF($B$242:$B$269,"section",K242:K269)</f>
        <v>14260763.665433694</v>
      </c>
      <c r="L241" s="47">
        <f t="shared" si="128"/>
        <v>0.97548477251198262</v>
      </c>
      <c r="M241" s="46"/>
      <c r="N241" s="46"/>
      <c r="O241" s="48"/>
      <c r="AO241" s="11"/>
    </row>
    <row r="242" spans="1:42" s="1" customFormat="1" ht="27.75" customHeight="1" thickBot="1" x14ac:dyDescent="0.3">
      <c r="A242" s="50" t="s">
        <v>20</v>
      </c>
      <c r="B242" s="50" t="s">
        <v>20</v>
      </c>
      <c r="C242" s="50" t="s">
        <v>20</v>
      </c>
      <c r="D242" s="51">
        <v>1115111</v>
      </c>
      <c r="E242" s="67" t="s">
        <v>21</v>
      </c>
      <c r="F242" s="68" t="e">
        <f>SUMIF($B$243:$B$249,"article",F243:F249)</f>
        <v>#VALUE!</v>
      </c>
      <c r="G242" s="68" t="e">
        <f>SUMIF($B$243:$B$249,"article",G243:G249)</f>
        <v>#VALUE!</v>
      </c>
      <c r="H242" s="68">
        <f>SUMIF($B$243:$B$249,"article",H243:H249)</f>
        <v>55285665.570504658</v>
      </c>
      <c r="I242" s="68">
        <v>57403071.349999994</v>
      </c>
      <c r="J242" s="68">
        <f>SUMIF($B$243:$B$249,"article",J243:J249)</f>
        <v>56860163.340000004</v>
      </c>
      <c r="K242" s="68">
        <f>SUMIF($B$243:$B$249,"article",K243:K249)</f>
        <v>-1574497.7694953452</v>
      </c>
      <c r="L242" s="69">
        <f t="shared" si="128"/>
        <v>1.0284793129149801</v>
      </c>
      <c r="M242" s="68"/>
      <c r="N242" s="68"/>
      <c r="O242" s="9"/>
      <c r="Q242" s="23"/>
      <c r="AK242" s="70"/>
      <c r="AL242" s="70"/>
      <c r="AM242" s="70"/>
      <c r="AN242" s="70"/>
      <c r="AO242" s="11">
        <v>1115111</v>
      </c>
    </row>
    <row r="243" spans="1:42" s="62" customFormat="1" ht="27.75" customHeight="1" thickTop="1" thickBot="1" x14ac:dyDescent="0.3">
      <c r="A243" s="56" t="s">
        <v>22</v>
      </c>
      <c r="B243" s="56" t="s">
        <v>22</v>
      </c>
      <c r="C243" s="57">
        <f t="shared" ref="C243:C249" si="129">IF(A242="SECTION",D242,C242)</f>
        <v>1115111</v>
      </c>
      <c r="D243" s="58">
        <v>1</v>
      </c>
      <c r="E243" s="59" t="str">
        <f t="shared" ref="E243:E249" si="130">IF(D243=1, "DEPENSES DE PERSONNEL",  +IF(D243=2,"DEPENSES DE SERVICES ET CHARGES DIVERSES", +IF(D243=3,"ACHATS DE BIENS DE CONSOMMATION ET PETITS MATERIELS",+IF(D243=4,"IMMOBILISATION CORPORELLE",+IF(D243=5,"IMMOBILISATION INCORPORELLE",+IF(D243=7,"SUBVENTIONS,QUOTES-PARTS ET CONTRIB.,ALLOC, INDEMNISATIONS",+IF(D243=8,"AMORTISSEMENT DE LA DETTE",+IF(D243=9,"AUTRES DEPENSES PUBLIQUES",0))))))))</f>
        <v>DEPENSES DE PERSONNEL</v>
      </c>
      <c r="F243" s="60" t="e">
        <f>SUMIFS([49]mensuel_section_article1!$E$3:$E$962,[49]mensuel_section_article1!$B$3:$B$962,C243,[49]mensuel_section_article1!$C$3:$C$962,D243)</f>
        <v>#VALUE!</v>
      </c>
      <c r="G243" s="60" t="e">
        <f>SUMIFS([49]mensuel_section_article1!$G$3:$G$962,[49]mensuel_section_article1!$B$3:$B$962,C243,[49]mensuel_section_article1!$C$3:$C$962,D243)</f>
        <v>#VALUE!</v>
      </c>
      <c r="H243" s="60">
        <v>28628149.996504657</v>
      </c>
      <c r="I243" s="60">
        <v>34986618.729999997</v>
      </c>
      <c r="J243" s="60">
        <v>34986614.200000003</v>
      </c>
      <c r="K243" s="60">
        <f t="shared" ref="K243:K249" si="131">+H243-J243</f>
        <v>-6358464.203495346</v>
      </c>
      <c r="L243" s="61">
        <f t="shared" si="128"/>
        <v>1.2221053125777139</v>
      </c>
      <c r="M243" s="60"/>
      <c r="N243" s="24"/>
      <c r="O243" s="9"/>
      <c r="Q243" s="63"/>
      <c r="AK243" s="64"/>
      <c r="AL243" s="64"/>
      <c r="AM243" s="64"/>
      <c r="AN243" s="64"/>
      <c r="AO243" s="11">
        <v>1115111</v>
      </c>
      <c r="AP243" s="65" t="str">
        <f t="shared" ref="AP243:AP249" si="132">CONCATENATE(AO243,D243)</f>
        <v>11151111</v>
      </c>
    </row>
    <row r="244" spans="1:42" s="62" customFormat="1" ht="27.75" customHeight="1" thickTop="1" thickBot="1" x14ac:dyDescent="0.3">
      <c r="A244" s="56" t="s">
        <v>22</v>
      </c>
      <c r="B244" s="56" t="s">
        <v>22</v>
      </c>
      <c r="C244" s="57">
        <f t="shared" si="129"/>
        <v>1115111</v>
      </c>
      <c r="D244" s="58">
        <v>2</v>
      </c>
      <c r="E244" s="59" t="str">
        <f t="shared" si="130"/>
        <v>DEPENSES DE SERVICES ET CHARGES DIVERSES</v>
      </c>
      <c r="F244" s="60" t="e">
        <f>SUMIFS([49]mensuel_section_article1!$E$3:$E$962,[49]mensuel_section_article1!$B$3:$B$962,C244,[49]mensuel_section_article1!$C$3:$C$962,D244)</f>
        <v>#VALUE!</v>
      </c>
      <c r="G244" s="60" t="e">
        <f>SUMIFS([49]mensuel_section_article1!$G$3:$G$962,[49]mensuel_section_article1!$B$3:$B$962,C244,[49]mensuel_section_article1!$C$3:$C$962,D244)</f>
        <v>#VALUE!</v>
      </c>
      <c r="H244" s="60">
        <v>9696072.256000001</v>
      </c>
      <c r="I244" s="60">
        <v>7351202.3099999996</v>
      </c>
      <c r="J244" s="60">
        <v>7182767.3700000001</v>
      </c>
      <c r="K244" s="60">
        <f t="shared" si="131"/>
        <v>2513304.8860000009</v>
      </c>
      <c r="L244" s="61">
        <f t="shared" si="128"/>
        <v>0.74079144424230658</v>
      </c>
      <c r="M244" s="60"/>
      <c r="N244" s="24"/>
      <c r="O244" s="9"/>
      <c r="Q244" s="63"/>
      <c r="AK244" s="64"/>
      <c r="AL244" s="64"/>
      <c r="AM244" s="64"/>
      <c r="AN244" s="64"/>
      <c r="AO244" s="11">
        <v>1115111</v>
      </c>
      <c r="AP244" s="65" t="str">
        <f t="shared" si="132"/>
        <v>11151112</v>
      </c>
    </row>
    <row r="245" spans="1:42" s="62" customFormat="1" ht="27.75" customHeight="1" thickTop="1" thickBot="1" x14ac:dyDescent="0.3">
      <c r="A245" s="56" t="s">
        <v>22</v>
      </c>
      <c r="B245" s="56" t="s">
        <v>22</v>
      </c>
      <c r="C245" s="57">
        <f t="shared" si="129"/>
        <v>1115111</v>
      </c>
      <c r="D245" s="58">
        <v>3</v>
      </c>
      <c r="E245" s="59" t="str">
        <f t="shared" si="130"/>
        <v>ACHATS DE BIENS DE CONSOMMATION ET PETITS MATERIELS</v>
      </c>
      <c r="F245" s="60" t="e">
        <f>SUMIFS([49]mensuel_section_article1!$E$3:$E$962,[49]mensuel_section_article1!$B$3:$B$962,C245,[49]mensuel_section_article1!$C$3:$C$962,D245)</f>
        <v>#VALUE!</v>
      </c>
      <c r="G245" s="60" t="e">
        <f>SUMIFS([49]mensuel_section_article1!$G$3:$G$962,[49]mensuel_section_article1!$B$3:$B$962,C245,[49]mensuel_section_article1!$C$3:$C$962,D245)</f>
        <v>#VALUE!</v>
      </c>
      <c r="H245" s="60">
        <v>12161298.998</v>
      </c>
      <c r="I245" s="60">
        <v>11765069.01</v>
      </c>
      <c r="J245" s="60">
        <v>11765065.050000001</v>
      </c>
      <c r="K245" s="60">
        <f t="shared" si="131"/>
        <v>396233.94799999893</v>
      </c>
      <c r="L245" s="61">
        <f t="shared" si="128"/>
        <v>0.96741845192152898</v>
      </c>
      <c r="M245" s="60"/>
      <c r="N245" s="24"/>
      <c r="O245" s="9"/>
      <c r="Q245" s="63"/>
      <c r="AK245" s="64"/>
      <c r="AL245" s="64"/>
      <c r="AM245" s="64"/>
      <c r="AN245" s="64"/>
      <c r="AO245" s="11">
        <v>1115111</v>
      </c>
      <c r="AP245" s="65" t="str">
        <f t="shared" si="132"/>
        <v>11151113</v>
      </c>
    </row>
    <row r="246" spans="1:42" s="62" customFormat="1" ht="27.75" customHeight="1" thickTop="1" thickBot="1" x14ac:dyDescent="0.3">
      <c r="A246" s="56" t="s">
        <v>22</v>
      </c>
      <c r="B246" s="56" t="s">
        <v>22</v>
      </c>
      <c r="C246" s="57">
        <f t="shared" si="129"/>
        <v>1115111</v>
      </c>
      <c r="D246" s="58">
        <v>4</v>
      </c>
      <c r="E246" s="59" t="str">
        <f t="shared" si="130"/>
        <v>IMMOBILISATION CORPORELLE</v>
      </c>
      <c r="F246" s="60" t="e">
        <f>SUMIFS([49]mensuel_section_article1!$E$3:$E$962,[49]mensuel_section_article1!$B$3:$B$962,C246,[49]mensuel_section_article1!$C$3:$C$962,D246)</f>
        <v>#VALUE!</v>
      </c>
      <c r="G246" s="60" t="e">
        <f>SUMIFS([49]mensuel_section_article1!$G$3:$G$962,[49]mensuel_section_article1!$B$3:$B$962,C246,[49]mensuel_section_article1!$C$3:$C$962,D246)</f>
        <v>#VALUE!</v>
      </c>
      <c r="H246" s="60">
        <v>3800180.0000000005</v>
      </c>
      <c r="I246" s="60">
        <v>3300180</v>
      </c>
      <c r="J246" s="60">
        <v>2925716.7199999997</v>
      </c>
      <c r="K246" s="60">
        <f t="shared" si="131"/>
        <v>874463.28000000073</v>
      </c>
      <c r="L246" s="61">
        <f t="shared" si="128"/>
        <v>0.76988898420601115</v>
      </c>
      <c r="M246" s="60"/>
      <c r="N246" s="24"/>
      <c r="O246" s="9"/>
      <c r="Q246" s="63"/>
      <c r="AK246" s="64"/>
      <c r="AL246" s="64"/>
      <c r="AM246" s="64"/>
      <c r="AN246" s="64"/>
      <c r="AO246" s="11">
        <v>1115111</v>
      </c>
      <c r="AP246" s="65" t="str">
        <f t="shared" si="132"/>
        <v>11151114</v>
      </c>
    </row>
    <row r="247" spans="1:42" s="62" customFormat="1" ht="27.75" hidden="1" customHeight="1" thickTop="1" thickBot="1" x14ac:dyDescent="0.3">
      <c r="A247" s="56" t="s">
        <v>22</v>
      </c>
      <c r="B247" s="56" t="s">
        <v>22</v>
      </c>
      <c r="C247" s="57">
        <f t="shared" si="129"/>
        <v>1115111</v>
      </c>
      <c r="D247" s="58">
        <v>5</v>
      </c>
      <c r="E247" s="59" t="str">
        <f t="shared" si="130"/>
        <v>IMMOBILISATION INCORPORELLE</v>
      </c>
      <c r="F247" s="60" t="e">
        <f>SUMIFS([49]mensuel_section_article1!$E$3:$E$962,[49]mensuel_section_article1!$B$3:$B$962,C247,[49]mensuel_section_article1!$C$3:$C$962,D247)</f>
        <v>#VALUE!</v>
      </c>
      <c r="G247" s="60" t="e">
        <f>SUMIFS([49]mensuel_section_article1!$G$3:$G$962,[49]mensuel_section_article1!$B$3:$B$962,C247,[49]mensuel_section_article1!$C$3:$C$962,D247)</f>
        <v>#VALUE!</v>
      </c>
      <c r="H247" s="60">
        <v>0</v>
      </c>
      <c r="I247" s="60">
        <v>0</v>
      </c>
      <c r="J247" s="60">
        <v>0</v>
      </c>
      <c r="K247" s="60">
        <f t="shared" si="131"/>
        <v>0</v>
      </c>
      <c r="L247" s="61" t="e">
        <f>IF(F247&lt;&gt;0,K247/F247,0)</f>
        <v>#VALUE!</v>
      </c>
      <c r="M247" s="60" t="e">
        <f>+SUMIFS([51]section_article!$H$10:$H$936,[51]section_article!$C$10:$C$936,C247,[51]section_article!$D$10:$D$936,D247)</f>
        <v>#VALUE!</v>
      </c>
      <c r="N247" s="24" t="e">
        <f t="shared" ref="N243:N249" si="133">+J247-M247</f>
        <v>#VALUE!</v>
      </c>
      <c r="O247" s="9"/>
      <c r="Q247" s="63"/>
      <c r="AK247" s="64"/>
      <c r="AL247" s="64"/>
      <c r="AM247" s="64"/>
      <c r="AN247" s="64"/>
      <c r="AO247" s="11">
        <v>1115111</v>
      </c>
      <c r="AP247" s="65" t="str">
        <f t="shared" si="132"/>
        <v>11151115</v>
      </c>
    </row>
    <row r="248" spans="1:42" s="62" customFormat="1" ht="27.75" hidden="1" customHeight="1" thickTop="1" thickBot="1" x14ac:dyDescent="0.3">
      <c r="A248" s="56" t="s">
        <v>22</v>
      </c>
      <c r="B248" s="56" t="s">
        <v>22</v>
      </c>
      <c r="C248" s="57">
        <f t="shared" si="129"/>
        <v>1115111</v>
      </c>
      <c r="D248" s="58">
        <v>7</v>
      </c>
      <c r="E248" s="59" t="str">
        <f t="shared" si="130"/>
        <v>SUBVENTIONS,QUOTES-PARTS ET CONTRIB.,ALLOC, INDEMNISATIONS</v>
      </c>
      <c r="F248" s="60" t="e">
        <f>SUMIFS([49]mensuel_section_article1!$E$3:$E$962,[49]mensuel_section_article1!$B$3:$B$962,C248,[49]mensuel_section_article1!$C$3:$C$962,D248)</f>
        <v>#VALUE!</v>
      </c>
      <c r="G248" s="60" t="e">
        <f>SUMIFS([49]mensuel_section_article1!$G$3:$G$962,[49]mensuel_section_article1!$B$3:$B$962,C248,[49]mensuel_section_article1!$C$3:$C$962,D248)</f>
        <v>#VALUE!</v>
      </c>
      <c r="H248" s="60">
        <v>0</v>
      </c>
      <c r="I248" s="60">
        <v>0</v>
      </c>
      <c r="J248" s="60">
        <v>0</v>
      </c>
      <c r="K248" s="60">
        <f t="shared" si="131"/>
        <v>0</v>
      </c>
      <c r="L248" s="61" t="e">
        <f>IF(F248&lt;&gt;0,K248/F248,0)</f>
        <v>#VALUE!</v>
      </c>
      <c r="M248" s="60" t="e">
        <f>+SUMIFS([51]section_article!$H$10:$H$936,[51]section_article!$C$10:$C$936,C248,[51]section_article!$D$10:$D$936,D248)</f>
        <v>#VALUE!</v>
      </c>
      <c r="N248" s="24" t="e">
        <f t="shared" si="133"/>
        <v>#VALUE!</v>
      </c>
      <c r="O248" s="9"/>
      <c r="Q248" s="63"/>
      <c r="AK248" s="64"/>
      <c r="AL248" s="64"/>
      <c r="AM248" s="64"/>
      <c r="AN248" s="64"/>
      <c r="AO248" s="11">
        <v>1115111</v>
      </c>
      <c r="AP248" s="65" t="str">
        <f t="shared" si="132"/>
        <v>11151117</v>
      </c>
    </row>
    <row r="249" spans="1:42" s="62" customFormat="1" ht="27.75" customHeight="1" thickTop="1" thickBot="1" x14ac:dyDescent="0.3">
      <c r="A249" s="56" t="s">
        <v>22</v>
      </c>
      <c r="B249" s="56" t="s">
        <v>22</v>
      </c>
      <c r="C249" s="57">
        <f t="shared" si="129"/>
        <v>1115111</v>
      </c>
      <c r="D249" s="58">
        <v>9</v>
      </c>
      <c r="E249" s="59" t="str">
        <f t="shared" si="130"/>
        <v>AUTRES DEPENSES PUBLIQUES</v>
      </c>
      <c r="F249" s="60" t="e">
        <f>SUMIFS([49]mensuel_section_article1!$E$3:$E$962,[49]mensuel_section_article1!$B$3:$B$962,C249,[49]mensuel_section_article1!$C$3:$C$962,D249)</f>
        <v>#VALUE!</v>
      </c>
      <c r="G249" s="60" t="e">
        <f>SUMIFS([49]mensuel_section_article1!$G$3:$G$962,[49]mensuel_section_article1!$B$3:$B$962,C249,[49]mensuel_section_article1!$C$3:$C$962,D249)</f>
        <v>#VALUE!</v>
      </c>
      <c r="H249" s="60">
        <v>999964.3200000003</v>
      </c>
      <c r="I249" s="60">
        <v>1.3</v>
      </c>
      <c r="J249" s="60">
        <v>0</v>
      </c>
      <c r="K249" s="60">
        <f t="shared" si="131"/>
        <v>999964.3200000003</v>
      </c>
      <c r="L249" s="61">
        <f t="shared" ref="L249:L254" si="134">+J249/H249</f>
        <v>0</v>
      </c>
      <c r="M249" s="60"/>
      <c r="N249" s="24"/>
      <c r="O249" s="9"/>
      <c r="Q249" s="63"/>
      <c r="AK249" s="64"/>
      <c r="AL249" s="64"/>
      <c r="AM249" s="64"/>
      <c r="AN249" s="64"/>
      <c r="AO249" s="11">
        <v>1115111</v>
      </c>
      <c r="AP249" s="65" t="str">
        <f t="shared" si="132"/>
        <v>11151119</v>
      </c>
    </row>
    <row r="250" spans="1:42" s="1" customFormat="1" ht="27.75" customHeight="1" thickTop="1" thickBot="1" x14ac:dyDescent="0.3">
      <c r="A250" s="50" t="s">
        <v>20</v>
      </c>
      <c r="B250" s="50" t="s">
        <v>20</v>
      </c>
      <c r="C250" s="50" t="s">
        <v>20</v>
      </c>
      <c r="D250" s="51">
        <v>1115112</v>
      </c>
      <c r="E250" s="67" t="s">
        <v>23</v>
      </c>
      <c r="F250" s="68" t="e">
        <f>SUMIF($B$251:$B$257,"article",F251:F257)</f>
        <v>#VALUE!</v>
      </c>
      <c r="G250" s="68" t="e">
        <f>SUMIF($B$251:$B$257,"article",G251:G257)</f>
        <v>#VALUE!</v>
      </c>
      <c r="H250" s="68">
        <f>SUMIF($B$251:$B$257,"article",H251:H257)</f>
        <v>270964330.47492903</v>
      </c>
      <c r="I250" s="68">
        <v>268845391.64999998</v>
      </c>
      <c r="J250" s="68">
        <f>SUMIF($B$251:$B$257,"article",J251:J257)</f>
        <v>265371773.57999998</v>
      </c>
      <c r="K250" s="68">
        <f>SUMIF($B$251:$B$257,"article",K251:K257)</f>
        <v>5592556.8949290467</v>
      </c>
      <c r="L250" s="69">
        <f t="shared" si="134"/>
        <v>0.97936054208638168</v>
      </c>
      <c r="M250" s="68"/>
      <c r="N250" s="68"/>
      <c r="O250" s="9"/>
      <c r="Q250" s="23"/>
      <c r="AK250" s="70"/>
      <c r="AL250" s="70"/>
      <c r="AM250" s="70"/>
      <c r="AN250" s="70"/>
      <c r="AO250" s="11">
        <v>1115112</v>
      </c>
    </row>
    <row r="251" spans="1:42" s="62" customFormat="1" ht="27.75" customHeight="1" thickTop="1" thickBot="1" x14ac:dyDescent="0.3">
      <c r="A251" s="56" t="s">
        <v>22</v>
      </c>
      <c r="B251" s="56" t="s">
        <v>22</v>
      </c>
      <c r="C251" s="57">
        <f t="shared" ref="C251:C257" si="135">IF(A250="SECTION",D250,C250)</f>
        <v>1115112</v>
      </c>
      <c r="D251" s="58">
        <v>1</v>
      </c>
      <c r="E251" s="59" t="str">
        <f t="shared" ref="E251:E257" si="136">IF(D251=1, "DEPENSES DE PERSONNEL",  +IF(D251=2,"DEPENSES DE SERVICES ET CHARGES DIVERSES", +IF(D251=3,"ACHATS DE BIENS DE CONSOMMATION ET PETITS MATERIELS",+IF(D251=4,"IMMOBILISATION CORPORELLE",+IF(D251=5,"IMMOBILISATION INCORPORELLE",+IF(D251=7,"SUBVENTIONS,QUOTES-PARTS ET CONTRIB.,ALLOC, INDEMNISATIONS",+IF(D251=8,"AMORTISSEMENT DE LA DETTE",+IF(D251=9,"AUTRES DEPENSES PUBLIQUES",0))))))))</f>
        <v>DEPENSES DE PERSONNEL</v>
      </c>
      <c r="F251" s="60" t="e">
        <f>SUMIFS([49]mensuel_section_article1!$E$3:$E$962,[49]mensuel_section_article1!$B$3:$B$962,C251,[49]mensuel_section_article1!$C$3:$C$962,D251)</f>
        <v>#VALUE!</v>
      </c>
      <c r="G251" s="60" t="e">
        <f>SUMIFS([49]mensuel_section_article1!$G$3:$G$962,[49]mensuel_section_article1!$B$3:$B$962,C251,[49]mensuel_section_article1!$C$3:$C$962,D251)</f>
        <v>#VALUE!</v>
      </c>
      <c r="H251" s="60">
        <v>224864332.5</v>
      </c>
      <c r="I251" s="60">
        <v>218504330.76999998</v>
      </c>
      <c r="J251" s="60">
        <v>218383930.01999998</v>
      </c>
      <c r="K251" s="60">
        <f t="shared" ref="K251:K257" si="137">+H251-J251</f>
        <v>6480402.4800000191</v>
      </c>
      <c r="L251" s="61">
        <f t="shared" si="134"/>
        <v>0.97118083420366363</v>
      </c>
      <c r="M251" s="60"/>
      <c r="N251" s="24"/>
      <c r="O251" s="9"/>
      <c r="Q251" s="63"/>
      <c r="AK251" s="64"/>
      <c r="AL251" s="64"/>
      <c r="AM251" s="64"/>
      <c r="AN251" s="64"/>
      <c r="AO251" s="11">
        <v>1115112</v>
      </c>
      <c r="AP251" s="65" t="str">
        <f t="shared" ref="AP251:AP257" si="138">CONCATENATE(AO251,D251)</f>
        <v>11151121</v>
      </c>
    </row>
    <row r="252" spans="1:42" s="62" customFormat="1" ht="27.75" customHeight="1" thickTop="1" thickBot="1" x14ac:dyDescent="0.3">
      <c r="A252" s="56" t="s">
        <v>22</v>
      </c>
      <c r="B252" s="56" t="s">
        <v>22</v>
      </c>
      <c r="C252" s="57">
        <f t="shared" si="135"/>
        <v>1115112</v>
      </c>
      <c r="D252" s="58">
        <v>2</v>
      </c>
      <c r="E252" s="59" t="str">
        <f t="shared" si="136"/>
        <v>DEPENSES DE SERVICES ET CHARGES DIVERSES</v>
      </c>
      <c r="F252" s="60" t="e">
        <f>SUMIFS([49]mensuel_section_article1!$E$3:$E$962,[49]mensuel_section_article1!$B$3:$B$962,C252,[49]mensuel_section_article1!$C$3:$C$962,D252)</f>
        <v>#VALUE!</v>
      </c>
      <c r="G252" s="60" t="e">
        <f>SUMIFS([49]mensuel_section_article1!$G$3:$G$962,[49]mensuel_section_article1!$B$3:$B$962,C252,[49]mensuel_section_article1!$C$3:$C$962,D252)</f>
        <v>#VALUE!</v>
      </c>
      <c r="H252" s="60">
        <v>6671491.0410000002</v>
      </c>
      <c r="I252" s="60">
        <v>8215354.0100000007</v>
      </c>
      <c r="J252" s="60">
        <v>7915319.4399999995</v>
      </c>
      <c r="K252" s="60">
        <f t="shared" si="137"/>
        <v>-1243828.3989999993</v>
      </c>
      <c r="L252" s="61">
        <f t="shared" si="134"/>
        <v>1.186439341873651</v>
      </c>
      <c r="M252" s="60"/>
      <c r="N252" s="24"/>
      <c r="O252" s="9"/>
      <c r="Q252" s="63"/>
      <c r="AK252" s="64"/>
      <c r="AL252" s="64"/>
      <c r="AM252" s="64"/>
      <c r="AN252" s="64"/>
      <c r="AO252" s="11">
        <v>1115112</v>
      </c>
      <c r="AP252" s="65" t="str">
        <f t="shared" si="138"/>
        <v>11151122</v>
      </c>
    </row>
    <row r="253" spans="1:42" s="62" customFormat="1" ht="27.75" customHeight="1" thickTop="1" thickBot="1" x14ac:dyDescent="0.3">
      <c r="A253" s="56" t="s">
        <v>22</v>
      </c>
      <c r="B253" s="56" t="s">
        <v>22</v>
      </c>
      <c r="C253" s="57">
        <f t="shared" si="135"/>
        <v>1115112</v>
      </c>
      <c r="D253" s="58">
        <v>3</v>
      </c>
      <c r="E253" s="59" t="str">
        <f t="shared" si="136"/>
        <v>ACHATS DE BIENS DE CONSOMMATION ET PETITS MATERIELS</v>
      </c>
      <c r="F253" s="60" t="e">
        <f>SUMIFS([49]mensuel_section_article1!$E$3:$E$962,[49]mensuel_section_article1!$B$3:$B$962,C253,[49]mensuel_section_article1!$C$3:$C$962,D253)</f>
        <v>#VALUE!</v>
      </c>
      <c r="G253" s="60" t="e">
        <f>SUMIFS([49]mensuel_section_article1!$G$3:$G$962,[49]mensuel_section_article1!$B$3:$B$962,C253,[49]mensuel_section_article1!$C$3:$C$962,D253)</f>
        <v>#VALUE!</v>
      </c>
      <c r="H253" s="60">
        <v>11708134.994000001</v>
      </c>
      <c r="I253" s="60">
        <v>17543322.970000003</v>
      </c>
      <c r="J253" s="60">
        <v>17191068.16</v>
      </c>
      <c r="K253" s="60">
        <f t="shared" si="137"/>
        <v>-5482933.1659999993</v>
      </c>
      <c r="L253" s="61">
        <f t="shared" si="134"/>
        <v>1.4683011571706173</v>
      </c>
      <c r="M253" s="60"/>
      <c r="N253" s="24"/>
      <c r="O253" s="9"/>
      <c r="Q253" s="63"/>
      <c r="AK253" s="64"/>
      <c r="AL253" s="64"/>
      <c r="AM253" s="64"/>
      <c r="AN253" s="64"/>
      <c r="AO253" s="11">
        <v>1115112</v>
      </c>
      <c r="AP253" s="65" t="str">
        <f t="shared" si="138"/>
        <v>11151123</v>
      </c>
    </row>
    <row r="254" spans="1:42" s="62" customFormat="1" ht="27.75" customHeight="1" thickTop="1" thickBot="1" x14ac:dyDescent="0.3">
      <c r="A254" s="56" t="s">
        <v>22</v>
      </c>
      <c r="B254" s="56" t="s">
        <v>22</v>
      </c>
      <c r="C254" s="57">
        <f t="shared" si="135"/>
        <v>1115112</v>
      </c>
      <c r="D254" s="58">
        <v>4</v>
      </c>
      <c r="E254" s="59" t="str">
        <f t="shared" si="136"/>
        <v>IMMOBILISATION CORPORELLE</v>
      </c>
      <c r="F254" s="60" t="e">
        <f>SUMIFS([49]mensuel_section_article1!$E$3:$E$962,[49]mensuel_section_article1!$B$3:$B$962,C254,[49]mensuel_section_article1!$C$3:$C$962,D254)</f>
        <v>#VALUE!</v>
      </c>
      <c r="G254" s="60" t="e">
        <f>SUMIFS([49]mensuel_section_article1!$G$3:$G$962,[49]mensuel_section_article1!$B$3:$B$962,C254,[49]mensuel_section_article1!$C$3:$C$962,D254)</f>
        <v>#VALUE!</v>
      </c>
      <c r="H254" s="60">
        <v>8340387.9399290271</v>
      </c>
      <c r="I254" s="60">
        <v>8840387.8999999985</v>
      </c>
      <c r="J254" s="60">
        <v>8089460.9600000009</v>
      </c>
      <c r="K254" s="60">
        <f t="shared" si="137"/>
        <v>250926.97992902622</v>
      </c>
      <c r="L254" s="61">
        <f t="shared" si="134"/>
        <v>0.96991423159974</v>
      </c>
      <c r="M254" s="60"/>
      <c r="N254" s="24"/>
      <c r="O254" s="9"/>
      <c r="Q254" s="63"/>
      <c r="AK254" s="64"/>
      <c r="AL254" s="64"/>
      <c r="AM254" s="64"/>
      <c r="AN254" s="64"/>
      <c r="AO254" s="11">
        <v>1115112</v>
      </c>
      <c r="AP254" s="65" t="str">
        <f t="shared" si="138"/>
        <v>11151124</v>
      </c>
    </row>
    <row r="255" spans="1:42" s="62" customFormat="1" ht="27.75" hidden="1" customHeight="1" thickTop="1" thickBot="1" x14ac:dyDescent="0.3">
      <c r="A255" s="56" t="s">
        <v>22</v>
      </c>
      <c r="B255" s="56" t="s">
        <v>22</v>
      </c>
      <c r="C255" s="57">
        <f t="shared" si="135"/>
        <v>1115112</v>
      </c>
      <c r="D255" s="58">
        <v>5</v>
      </c>
      <c r="E255" s="59" t="str">
        <f t="shared" si="136"/>
        <v>IMMOBILISATION INCORPORELLE</v>
      </c>
      <c r="F255" s="60" t="e">
        <f>SUMIFS([49]mensuel_section_article1!$E$3:$E$962,[49]mensuel_section_article1!$B$3:$B$962,C255,[49]mensuel_section_article1!$C$3:$C$962,D255)</f>
        <v>#VALUE!</v>
      </c>
      <c r="G255" s="60" t="e">
        <f>SUMIFS([49]mensuel_section_article1!$G$3:$G$962,[49]mensuel_section_article1!$B$3:$B$962,C255,[49]mensuel_section_article1!$C$3:$C$962,D255)</f>
        <v>#VALUE!</v>
      </c>
      <c r="H255" s="60">
        <v>0</v>
      </c>
      <c r="I255" s="60">
        <v>0</v>
      </c>
      <c r="J255" s="60">
        <v>0</v>
      </c>
      <c r="K255" s="60">
        <f t="shared" si="137"/>
        <v>0</v>
      </c>
      <c r="L255" s="61" t="e">
        <f>IF(F255&lt;&gt;0,K255/F255,0)</f>
        <v>#VALUE!</v>
      </c>
      <c r="M255" s="60" t="e">
        <f>+SUMIFS([51]section_article!$H$10:$H$936,[51]section_article!$C$10:$C$936,C255,[51]section_article!$D$10:$D$936,D255)</f>
        <v>#VALUE!</v>
      </c>
      <c r="N255" s="24" t="e">
        <f t="shared" ref="N251:N257" si="139">+J255-M255</f>
        <v>#VALUE!</v>
      </c>
      <c r="O255" s="9"/>
      <c r="Q255" s="63"/>
      <c r="AK255" s="64"/>
      <c r="AL255" s="64"/>
      <c r="AM255" s="64"/>
      <c r="AN255" s="64"/>
      <c r="AO255" s="11">
        <v>1115112</v>
      </c>
      <c r="AP255" s="65" t="str">
        <f t="shared" si="138"/>
        <v>11151125</v>
      </c>
    </row>
    <row r="256" spans="1:42" s="62" customFormat="1" ht="27.75" customHeight="1" thickTop="1" thickBot="1" x14ac:dyDescent="0.3">
      <c r="A256" s="56" t="s">
        <v>22</v>
      </c>
      <c r="B256" s="56" t="s">
        <v>22</v>
      </c>
      <c r="C256" s="57">
        <f t="shared" si="135"/>
        <v>1115112</v>
      </c>
      <c r="D256" s="58">
        <v>7</v>
      </c>
      <c r="E256" s="59" t="str">
        <f t="shared" si="136"/>
        <v>SUBVENTIONS,QUOTES-PARTS ET CONTRIB.,ALLOC, INDEMNISATIONS</v>
      </c>
      <c r="F256" s="60" t="e">
        <f>SUMIFS([49]mensuel_section_article1!$E$3:$E$962,[49]mensuel_section_article1!$B$3:$B$962,C256,[49]mensuel_section_article1!$C$3:$C$962,D256)</f>
        <v>#VALUE!</v>
      </c>
      <c r="G256" s="60" t="e">
        <f>SUMIFS([49]mensuel_section_article1!$G$3:$G$962,[49]mensuel_section_article1!$B$3:$B$962,C256,[49]mensuel_section_article1!$C$3:$C$962,D256)</f>
        <v>#VALUE!</v>
      </c>
      <c r="H256" s="60">
        <v>3000000</v>
      </c>
      <c r="I256" s="60">
        <v>3000000</v>
      </c>
      <c r="J256" s="60">
        <v>1050000</v>
      </c>
      <c r="K256" s="60">
        <f t="shared" si="137"/>
        <v>1950000</v>
      </c>
      <c r="L256" s="61">
        <f>+J256/H256</f>
        <v>0.35</v>
      </c>
      <c r="M256" s="60"/>
      <c r="N256" s="24"/>
      <c r="O256" s="9"/>
      <c r="Q256" s="63"/>
      <c r="AK256" s="64"/>
      <c r="AL256" s="64"/>
      <c r="AM256" s="64"/>
      <c r="AN256" s="64"/>
      <c r="AO256" s="11">
        <v>1115112</v>
      </c>
      <c r="AP256" s="65" t="str">
        <f t="shared" si="138"/>
        <v>11151127</v>
      </c>
    </row>
    <row r="257" spans="1:42" s="62" customFormat="1" ht="27.75" customHeight="1" thickTop="1" thickBot="1" x14ac:dyDescent="0.3">
      <c r="A257" s="56" t="s">
        <v>22</v>
      </c>
      <c r="B257" s="56" t="s">
        <v>22</v>
      </c>
      <c r="C257" s="57">
        <f t="shared" si="135"/>
        <v>1115112</v>
      </c>
      <c r="D257" s="58">
        <v>9</v>
      </c>
      <c r="E257" s="59" t="str">
        <f t="shared" si="136"/>
        <v>AUTRES DEPENSES PUBLIQUES</v>
      </c>
      <c r="F257" s="60" t="e">
        <f>SUMIFS([49]mensuel_section_article1!$E$3:$E$962,[49]mensuel_section_article1!$B$3:$B$962,C257,[49]mensuel_section_article1!$C$3:$C$962,D257)</f>
        <v>#VALUE!</v>
      </c>
      <c r="G257" s="60" t="e">
        <f>SUMIFS([49]mensuel_section_article1!$G$3:$G$962,[49]mensuel_section_article1!$B$3:$B$962,C257,[49]mensuel_section_article1!$C$3:$C$962,D257)</f>
        <v>#VALUE!</v>
      </c>
      <c r="H257" s="60">
        <v>16379984</v>
      </c>
      <c r="I257" s="60">
        <v>12741996</v>
      </c>
      <c r="J257" s="60">
        <v>12741995</v>
      </c>
      <c r="K257" s="60">
        <f t="shared" si="137"/>
        <v>3637989</v>
      </c>
      <c r="L257" s="61">
        <f>+J257/H257</f>
        <v>0.77790033250337731</v>
      </c>
      <c r="M257" s="60"/>
      <c r="N257" s="24"/>
      <c r="O257" s="9"/>
      <c r="Q257" s="66"/>
      <c r="AK257" s="64"/>
      <c r="AL257" s="64"/>
      <c r="AM257" s="64"/>
      <c r="AN257" s="64"/>
      <c r="AO257" s="11">
        <v>1115112</v>
      </c>
      <c r="AP257" s="65" t="str">
        <f t="shared" si="138"/>
        <v>11151129</v>
      </c>
    </row>
    <row r="258" spans="1:42" s="1" customFormat="1" ht="27.75" customHeight="1" thickTop="1" thickBot="1" x14ac:dyDescent="0.3">
      <c r="A258" s="50" t="s">
        <v>20</v>
      </c>
      <c r="B258" s="50" t="s">
        <v>20</v>
      </c>
      <c r="C258" s="50" t="s">
        <v>20</v>
      </c>
      <c r="D258" s="51">
        <v>1115113</v>
      </c>
      <c r="E258" s="67" t="s">
        <v>54</v>
      </c>
      <c r="F258" s="68" t="e">
        <f>SUMIF($B$259:$B$261,"article",F259:F261)</f>
        <v>#VALUE!</v>
      </c>
      <c r="G258" s="68" t="e">
        <f>SUMIF($B$259:$B$261,"article",G259:G261)</f>
        <v>#VALUE!</v>
      </c>
      <c r="H258" s="68">
        <f>SUMIF($B$259:$B$261,"article",H259:H261)</f>
        <v>104269392</v>
      </c>
      <c r="I258" s="68">
        <v>104269392</v>
      </c>
      <c r="J258" s="68">
        <f>SUMIF($B$259:$B$261,"article",J259:J261)</f>
        <v>102746111.23</v>
      </c>
      <c r="K258" s="68">
        <f>SUMIF($B$259:$B$261,"article",K259:K261)</f>
        <v>1523280.7699999921</v>
      </c>
      <c r="L258" s="69">
        <f>+J258/H258</f>
        <v>0.98539091155341163</v>
      </c>
      <c r="M258" s="68"/>
      <c r="N258" s="68"/>
      <c r="O258" s="9"/>
      <c r="Q258" s="23"/>
      <c r="AK258" s="70"/>
      <c r="AL258" s="70"/>
      <c r="AM258" s="70"/>
      <c r="AN258" s="70"/>
      <c r="AO258" s="11">
        <v>1115113</v>
      </c>
    </row>
    <row r="259" spans="1:42" s="62" customFormat="1" ht="27.75" customHeight="1" thickTop="1" thickBot="1" x14ac:dyDescent="0.3">
      <c r="A259" s="56" t="s">
        <v>22</v>
      </c>
      <c r="B259" s="56" t="s">
        <v>22</v>
      </c>
      <c r="C259" s="57">
        <f>IF(A258="SECTION",D258,C258)</f>
        <v>1115113</v>
      </c>
      <c r="D259" s="58">
        <v>1</v>
      </c>
      <c r="E259" s="59" t="str">
        <f>IF(D259=1, "DEPENSES DE PERSONNEL",  +IF(D259=2,"DEPENSES DE SERVICES ET CHARGES DIVERSES", +IF(D259=3,"ACHATS DE BIENS DE CONSOMMATION ET PETITS MATERIELS",+IF(D259=4,"IMMOBILISATION CORPORELLE",+IF(D259=5,"IMMOBILISATION INCORPORELLE",+IF(D259=7,"SUBVENTIONS,QUOTES-PARTS ET CONTRIB.,ALLOC, INDEMNISATIONS",+IF(D259=8,"AMORTISSEMENT DE LA DETTE",+IF(D259=9,"AUTRES DEPENSES PUBLIQUES",0))))))))</f>
        <v>DEPENSES DE PERSONNEL</v>
      </c>
      <c r="F259" s="60" t="e">
        <f>SUMIFS([49]mensuel_section_article1!$E$3:$E$962,[49]mensuel_section_article1!$B$3:$B$962,C259,[49]mensuel_section_article1!$C$3:$C$962,D259)</f>
        <v>#VALUE!</v>
      </c>
      <c r="G259" s="60" t="e">
        <f>SUMIFS([49]mensuel_section_article1!$G$3:$G$962,[49]mensuel_section_article1!$B$3:$B$962,C259,[49]mensuel_section_article1!$C$3:$C$962,D259)</f>
        <v>#VALUE!</v>
      </c>
      <c r="H259" s="60">
        <v>82074420</v>
      </c>
      <c r="I259" s="60">
        <v>82074420</v>
      </c>
      <c r="J259" s="60">
        <v>81575843.960000008</v>
      </c>
      <c r="K259" s="60">
        <f t="shared" ref="K259:K261" si="140">+H259-J259</f>
        <v>498576.03999999166</v>
      </c>
      <c r="L259" s="61">
        <f>+J259/H259</f>
        <v>0.99392531753498847</v>
      </c>
      <c r="M259" s="60"/>
      <c r="N259" s="24"/>
      <c r="O259" s="9"/>
      <c r="Q259" s="63"/>
      <c r="AK259" s="64"/>
      <c r="AL259" s="64"/>
      <c r="AM259" s="64"/>
      <c r="AN259" s="64"/>
      <c r="AO259" s="11">
        <v>1115113</v>
      </c>
      <c r="AP259" s="65" t="str">
        <f>CONCATENATE(AO259,D259)</f>
        <v>11151131</v>
      </c>
    </row>
    <row r="260" spans="1:42" s="62" customFormat="1" ht="27.75" customHeight="1" thickTop="1" thickBot="1" x14ac:dyDescent="0.3">
      <c r="A260" s="56" t="s">
        <v>22</v>
      </c>
      <c r="B260" s="56" t="s">
        <v>22</v>
      </c>
      <c r="C260" s="57">
        <f>IF(A258="SECTION",D258,C258)</f>
        <v>1115113</v>
      </c>
      <c r="D260" s="58">
        <v>2</v>
      </c>
      <c r="E260" s="59" t="str">
        <f>IF(D260=1, "DEPENSES DE PERSONNEL",  +IF(D260=2,"DEPENSES DE SERVICES ET CHARGES DIVERSES", +IF(D260=3,"ACHATS DE BIENS DE CONSOMMATION ET PETITS MATERIELS",+IF(D260=4,"IMMOBILISATION CORPORELLE",+IF(D260=5,"IMMOBILISATION INCORPORELLE",+IF(D260=7,"SUBVENTIONS,QUOTES-PARTS ET CONTRIB.,ALLOC, INDEMNISATIONS",+IF(D260=8,"AMORTISSEMENT DE LA DETTE",+IF(D260=9,"AUTRES DEPENSES PUBLIQUES",0))))))))</f>
        <v>DEPENSES DE SERVICES ET CHARGES DIVERSES</v>
      </c>
      <c r="F260" s="60" t="e">
        <f>SUMIFS([49]mensuel_section_article1!$E$3:$E$962,[49]mensuel_section_article1!$B$3:$B$962,C260,[49]mensuel_section_article1!$C$3:$C$962,D260)</f>
        <v>#VALUE!</v>
      </c>
      <c r="G260" s="60" t="e">
        <f>SUMIFS([49]mensuel_section_article1!$G$3:$G$962,[49]mensuel_section_article1!$B$3:$B$962,C260,[49]mensuel_section_article1!$C$3:$C$962,D260)</f>
        <v>#VALUE!</v>
      </c>
      <c r="H260" s="60">
        <v>22194972</v>
      </c>
      <c r="I260" s="60">
        <v>22194972</v>
      </c>
      <c r="J260" s="60">
        <v>21170267.27</v>
      </c>
      <c r="K260" s="60">
        <f t="shared" si="140"/>
        <v>1024704.7300000004</v>
      </c>
      <c r="L260" s="61">
        <f>+J260/H260</f>
        <v>0.9538316727770596</v>
      </c>
      <c r="M260" s="60"/>
      <c r="N260" s="24"/>
      <c r="O260" s="9"/>
      <c r="Q260" s="63"/>
      <c r="AK260" s="64"/>
      <c r="AL260" s="64"/>
      <c r="AM260" s="64"/>
      <c r="AN260" s="64"/>
      <c r="AO260" s="11">
        <v>1115113</v>
      </c>
      <c r="AP260" s="65" t="str">
        <f>CONCATENATE(AO260,D260)</f>
        <v>11151132</v>
      </c>
    </row>
    <row r="261" spans="1:42" s="62" customFormat="1" ht="27.75" hidden="1" customHeight="1" thickTop="1" thickBot="1" x14ac:dyDescent="0.3">
      <c r="A261" s="56" t="s">
        <v>22</v>
      </c>
      <c r="B261" s="56" t="s">
        <v>22</v>
      </c>
      <c r="C261" s="57">
        <f>IF(A259="SECTION",D259,C259)</f>
        <v>1115113</v>
      </c>
      <c r="D261" s="58">
        <v>7</v>
      </c>
      <c r="E261" s="59" t="str">
        <f>IF(D261=1, "DEPENSES DE PERSONNEL",  +IF(D261=2,"DEPENSES DE SERVICES ET CHARGES DIVERSES", +IF(D261=3,"ACHATS DE BIENS DE CONSOMMATION ET PETITS MATERIELS",+IF(D261=4,"IMMOBILISATION CORPORELLE",+IF(D261=5,"IMMOBILISATION INCORPORELLE",+IF(D261=7,"SUBVENTIONS,QUOTES-PARTS ET CONTRIB.,ALLOC, INDEMNISATIONS",+IF(D261=8,"AMORTISSEMENT DE LA DETTE",+IF(D261=9,"AUTRES DEPENSES PUBLIQUES",0))))))))</f>
        <v>SUBVENTIONS,QUOTES-PARTS ET CONTRIB.,ALLOC, INDEMNISATIONS</v>
      </c>
      <c r="F261" s="60" t="e">
        <f>SUMIFS([49]mensuel_section_article1!$E$3:$E$962,[49]mensuel_section_article1!$B$3:$B$962,C261,[49]mensuel_section_article1!$C$3:$C$962,D261)</f>
        <v>#VALUE!</v>
      </c>
      <c r="G261" s="60" t="e">
        <f>SUMIFS([49]mensuel_section_article1!$G$3:$G$962,[49]mensuel_section_article1!$B$3:$B$962,C261,[49]mensuel_section_article1!$C$3:$C$962,D261)</f>
        <v>#VALUE!</v>
      </c>
      <c r="H261" s="60">
        <v>0</v>
      </c>
      <c r="I261" s="60">
        <v>0</v>
      </c>
      <c r="J261" s="60">
        <v>0</v>
      </c>
      <c r="K261" s="60">
        <f t="shared" si="140"/>
        <v>0</v>
      </c>
      <c r="L261" s="61" t="e">
        <f>IF(F261&lt;&gt;0,K261/F261,0)</f>
        <v>#VALUE!</v>
      </c>
      <c r="M261" s="60" t="e">
        <f>+SUMIFS([51]section_article!$H$10:$H$936,[51]section_article!$C$10:$C$936,C261,[51]section_article!$D$10:$D$936,D261)</f>
        <v>#VALUE!</v>
      </c>
      <c r="N261" s="24" t="e">
        <f>+J261-M261</f>
        <v>#VALUE!</v>
      </c>
      <c r="O261" s="9"/>
      <c r="Q261" s="63"/>
      <c r="AK261" s="64"/>
      <c r="AL261" s="64"/>
      <c r="AM261" s="64"/>
      <c r="AN261" s="64"/>
      <c r="AO261" s="11">
        <v>1115113</v>
      </c>
      <c r="AP261" s="65" t="str">
        <f>CONCATENATE(AO261,D261)</f>
        <v>11151137</v>
      </c>
    </row>
    <row r="262" spans="1:42" s="1" customFormat="1" ht="27.75" customHeight="1" thickTop="1" thickBot="1" x14ac:dyDescent="0.3">
      <c r="A262" s="50" t="s">
        <v>20</v>
      </c>
      <c r="B262" s="50" t="s">
        <v>20</v>
      </c>
      <c r="C262" s="50" t="s">
        <v>20</v>
      </c>
      <c r="D262" s="51">
        <v>1115115</v>
      </c>
      <c r="E262" s="67" t="s">
        <v>55</v>
      </c>
      <c r="F262" s="68" t="e">
        <f>SUMIF($B$263:$B$265,"article",F263:F265)</f>
        <v>#VALUE!</v>
      </c>
      <c r="G262" s="68" t="e">
        <f>SUMIF($B$263:$B$265,"article",G263:G265)</f>
        <v>#VALUE!</v>
      </c>
      <c r="H262" s="68">
        <f>SUMIF($B$263:$B$265,"article",H263:H265)</f>
        <v>41068992.450000003</v>
      </c>
      <c r="I262" s="68">
        <v>41070525.399999999</v>
      </c>
      <c r="J262" s="68">
        <f>SUMIF($B$263:$B$265,"article",J263:J265)</f>
        <v>40536937.859999999</v>
      </c>
      <c r="K262" s="68">
        <f>SUMIF($B$263:$B$265,"article",K263:K265)</f>
        <v>532054.58999999985</v>
      </c>
      <c r="L262" s="69">
        <f>+J262/H262</f>
        <v>0.98704485894929705</v>
      </c>
      <c r="M262" s="68"/>
      <c r="N262" s="68"/>
      <c r="O262" s="9"/>
      <c r="Q262" s="23"/>
      <c r="AK262" s="70"/>
      <c r="AL262" s="70"/>
      <c r="AM262" s="70"/>
      <c r="AN262" s="70"/>
      <c r="AO262" s="11">
        <v>1115115</v>
      </c>
    </row>
    <row r="263" spans="1:42" s="62" customFormat="1" ht="27.75" customHeight="1" thickTop="1" thickBot="1" x14ac:dyDescent="0.3">
      <c r="A263" s="56" t="s">
        <v>22</v>
      </c>
      <c r="B263" s="56" t="s">
        <v>22</v>
      </c>
      <c r="C263" s="57">
        <f>IF(A262="SECTION",D262,C262)</f>
        <v>1115115</v>
      </c>
      <c r="D263" s="58">
        <v>1</v>
      </c>
      <c r="E263" s="59" t="str">
        <f>IF(D263=1, "DEPENSES DE PERSONNEL",  +IF(D263=2,"DEPENSES DE SERVICES ET CHARGES DIVERSES", +IF(D263=3,"ACHATS DE BIENS DE CONSOMMATION ET PETITS MATERIELS",+IF(D263=4,"IMMOBILISATION CORPORELLE",+IF(D263=5,"IMMOBILISATION INCORPORELLE",+IF(D263=7,"SUBVENTIONS,QUOTES-PARTS ET CONTRIB.,ALLOC, INDEMNISATIONS",+IF(D263=8,"AMORTISSEMENT DE LA DETTE",+IF(D263=9,"AUTRES DEPENSES PUBLIQUES",0))))))))</f>
        <v>DEPENSES DE PERSONNEL</v>
      </c>
      <c r="F263" s="60" t="e">
        <f>SUMIFS([49]mensuel_section_article1!$E$3:$E$962,[49]mensuel_section_article1!$B$3:$B$962,C263,[49]mensuel_section_article1!$C$3:$C$962,D263)</f>
        <v>#VALUE!</v>
      </c>
      <c r="G263" s="60" t="e">
        <f>SUMIFS([49]mensuel_section_article1!$G$3:$G$962,[49]mensuel_section_article1!$B$3:$B$962,C263,[49]mensuel_section_article1!$C$3:$C$962,D263)</f>
        <v>#VALUE!</v>
      </c>
      <c r="H263" s="60">
        <v>19800150.52</v>
      </c>
      <c r="I263" s="60">
        <v>19801683.5</v>
      </c>
      <c r="J263" s="60">
        <v>19801559.350000001</v>
      </c>
      <c r="K263" s="60">
        <f t="shared" ref="K263:K265" si="141">+H263-J263</f>
        <v>-1408.8300000019372</v>
      </c>
      <c r="L263" s="61">
        <f>+J263/H263</f>
        <v>1.0000711524894004</v>
      </c>
      <c r="M263" s="60"/>
      <c r="N263" s="24"/>
      <c r="O263" s="9"/>
      <c r="Q263" s="63"/>
      <c r="AK263" s="64"/>
      <c r="AL263" s="64"/>
      <c r="AM263" s="64"/>
      <c r="AN263" s="64"/>
      <c r="AO263" s="11">
        <v>1115115</v>
      </c>
      <c r="AP263" s="65" t="str">
        <f>CONCATENATE(AO263,D263)</f>
        <v>11151151</v>
      </c>
    </row>
    <row r="264" spans="1:42" s="62" customFormat="1" ht="27.75" customHeight="1" thickTop="1" thickBot="1" x14ac:dyDescent="0.3">
      <c r="A264" s="56" t="s">
        <v>22</v>
      </c>
      <c r="B264" s="56" t="s">
        <v>22</v>
      </c>
      <c r="C264" s="57">
        <f>IF(A262="SECTION",D262,C262)</f>
        <v>1115115</v>
      </c>
      <c r="D264" s="58">
        <v>2</v>
      </c>
      <c r="E264" s="59" t="str">
        <f>IF(D264=1, "DEPENSES DE PERSONNEL",  +IF(D264=2,"DEPENSES DE SERVICES ET CHARGES DIVERSES", +IF(D264=3,"ACHATS DE BIENS DE CONSOMMATION ET PETITS MATERIELS",+IF(D264=4,"IMMOBILISATION CORPORELLE",+IF(D264=5,"IMMOBILISATION INCORPORELLE",+IF(D264=7,"SUBVENTIONS,QUOTES-PARTS ET CONTRIB.,ALLOC, INDEMNISATIONS",+IF(D264=8,"AMORTISSEMENT DE LA DETTE",+IF(D264=9,"AUTRES DEPENSES PUBLIQUES",0))))))))</f>
        <v>DEPENSES DE SERVICES ET CHARGES DIVERSES</v>
      </c>
      <c r="F264" s="60" t="e">
        <f>SUMIFS([49]mensuel_section_article1!$E$3:$E$962,[49]mensuel_section_article1!$B$3:$B$962,C264,[49]mensuel_section_article1!$C$3:$C$962,D264)</f>
        <v>#VALUE!</v>
      </c>
      <c r="G264" s="60" t="e">
        <f>SUMIFS([49]mensuel_section_article1!$G$3:$G$962,[49]mensuel_section_article1!$B$3:$B$962,C264,[49]mensuel_section_article1!$C$3:$C$962,D264)</f>
        <v>#VALUE!</v>
      </c>
      <c r="H264" s="60">
        <v>21268841.93</v>
      </c>
      <c r="I264" s="60">
        <v>21268841.899999999</v>
      </c>
      <c r="J264" s="60">
        <v>20735378.509999998</v>
      </c>
      <c r="K264" s="60">
        <f t="shared" si="141"/>
        <v>533463.42000000179</v>
      </c>
      <c r="L264" s="61">
        <f>+J264/H264</f>
        <v>0.974918078673219</v>
      </c>
      <c r="M264" s="60"/>
      <c r="N264" s="24"/>
      <c r="O264" s="9"/>
      <c r="Q264" s="63"/>
      <c r="AK264" s="64"/>
      <c r="AL264" s="64"/>
      <c r="AM264" s="64"/>
      <c r="AN264" s="64"/>
      <c r="AO264" s="11">
        <v>1115115</v>
      </c>
      <c r="AP264" s="65" t="str">
        <f>CONCATENATE(AO264,D264)</f>
        <v>11151152</v>
      </c>
    </row>
    <row r="265" spans="1:42" s="62" customFormat="1" ht="27.75" hidden="1" customHeight="1" thickTop="1" thickBot="1" x14ac:dyDescent="0.3">
      <c r="A265" s="56" t="s">
        <v>22</v>
      </c>
      <c r="B265" s="56" t="s">
        <v>22</v>
      </c>
      <c r="C265" s="57">
        <f>IF(A263="SECTION",D263,C263)</f>
        <v>1115115</v>
      </c>
      <c r="D265" s="58">
        <v>7</v>
      </c>
      <c r="E265" s="59" t="str">
        <f>IF(D265=1, "DEPENSES DE PERSONNEL",  +IF(D265=2,"DEPENSES DE SERVICES ET CHARGES DIVERSES", +IF(D265=3,"ACHATS DE BIENS DE CONSOMMATION ET PETITS MATERIELS",+IF(D265=4,"IMMOBILISATION CORPORELLE",+IF(D265=5,"IMMOBILISATION INCORPORELLE",+IF(D265=7,"SUBVENTIONS,QUOTES-PARTS ET CONTRIB.,ALLOC, INDEMNISATIONS",+IF(D265=8,"AMORTISSEMENT DE LA DETTE",+IF(D265=9,"AUTRES DEPENSES PUBLIQUES",0))))))))</f>
        <v>SUBVENTIONS,QUOTES-PARTS ET CONTRIB.,ALLOC, INDEMNISATIONS</v>
      </c>
      <c r="F265" s="60" t="e">
        <f>SUMIFS([49]mensuel_section_article1!$E$3:$E$962,[49]mensuel_section_article1!$B$3:$B$962,C265,[49]mensuel_section_article1!$C$3:$C$962,D265)</f>
        <v>#VALUE!</v>
      </c>
      <c r="G265" s="60" t="e">
        <f>SUMIFS([49]mensuel_section_article1!$G$3:$G$962,[49]mensuel_section_article1!$B$3:$B$962,C265,[49]mensuel_section_article1!$C$3:$C$962,D265)</f>
        <v>#VALUE!</v>
      </c>
      <c r="H265" s="60">
        <v>0</v>
      </c>
      <c r="I265" s="60">
        <v>0</v>
      </c>
      <c r="J265" s="60">
        <v>0</v>
      </c>
      <c r="K265" s="60">
        <f t="shared" si="141"/>
        <v>0</v>
      </c>
      <c r="L265" s="61" t="e">
        <f>IF(F265&lt;&gt;0,K265/F265,0)</f>
        <v>#VALUE!</v>
      </c>
      <c r="M265" s="60" t="e">
        <f>+SUMIFS([51]section_article!$H$10:$H$936,[51]section_article!$C$10:$C$936,C265,[51]section_article!$D$10:$D$936,D265)</f>
        <v>#VALUE!</v>
      </c>
      <c r="N265" s="24" t="e">
        <f>+J265-M265</f>
        <v>#VALUE!</v>
      </c>
      <c r="O265" s="9"/>
      <c r="Q265" s="63"/>
      <c r="AK265" s="64"/>
      <c r="AL265" s="64"/>
      <c r="AM265" s="64"/>
      <c r="AN265" s="64"/>
      <c r="AO265" s="11">
        <v>1115115</v>
      </c>
      <c r="AP265" s="65" t="str">
        <f>CONCATENATE(AO265,D265)</f>
        <v>11151157</v>
      </c>
    </row>
    <row r="266" spans="1:42" s="1" customFormat="1" ht="27.75" customHeight="1" thickTop="1" thickBot="1" x14ac:dyDescent="0.3">
      <c r="A266" s="50" t="s">
        <v>20</v>
      </c>
      <c r="B266" s="50" t="s">
        <v>20</v>
      </c>
      <c r="C266" s="50" t="s">
        <v>20</v>
      </c>
      <c r="D266" s="51">
        <v>1115116</v>
      </c>
      <c r="E266" s="67" t="s">
        <v>56</v>
      </c>
      <c r="F266" s="68" t="e">
        <f>SUMIF($B$267:$B$269,"article",F267:F269)</f>
        <v>#VALUE!</v>
      </c>
      <c r="G266" s="68" t="e">
        <f>SUMIF($B$267:$B$269,"article",G267:G269)</f>
        <v>#VALUE!</v>
      </c>
      <c r="H266" s="68">
        <f>SUMIF($B$267:$B$269,"article",H267:H269)</f>
        <v>110122055.28999999</v>
      </c>
      <c r="I266" s="68">
        <v>110122055.3</v>
      </c>
      <c r="J266" s="68">
        <f>SUMIF($B$267:$B$269,"article",J267:J269)</f>
        <v>101934686.11</v>
      </c>
      <c r="K266" s="68">
        <f>SUMIF($B$267:$B$269,"article",K267:K269)</f>
        <v>8187369.1799999997</v>
      </c>
      <c r="L266" s="69">
        <f>+J266/H266</f>
        <v>0.92565186729907067</v>
      </c>
      <c r="M266" s="68"/>
      <c r="N266" s="68"/>
      <c r="O266" s="9"/>
      <c r="Q266" s="23"/>
      <c r="AK266" s="86"/>
      <c r="AL266" s="86"/>
      <c r="AM266" s="70"/>
      <c r="AN266" s="70"/>
      <c r="AO266" s="11">
        <v>1115116</v>
      </c>
    </row>
    <row r="267" spans="1:42" s="62" customFormat="1" ht="27.75" customHeight="1" thickTop="1" thickBot="1" x14ac:dyDescent="0.3">
      <c r="A267" s="56" t="s">
        <v>22</v>
      </c>
      <c r="B267" s="56" t="s">
        <v>22</v>
      </c>
      <c r="C267" s="57">
        <f>IF(A266="SECTION",D266,C266)</f>
        <v>1115116</v>
      </c>
      <c r="D267" s="58">
        <v>1</v>
      </c>
      <c r="E267" s="59" t="str">
        <f>IF(D267=1, "DEPENSES DE PERSONNEL",  +IF(D267=2,"DEPENSES DE SERVICES ET CHARGES DIVERSES", +IF(D267=3,"ACHATS DE BIENS DE CONSOMMATION ET PETITS MATERIELS",+IF(D267=4,"IMMOBILISATION CORPORELLE",+IF(D267=5,"IMMOBILISATION INCORPORELLE",+IF(D267=7,"SUBVENTIONS,QUOTES-PARTS ET CONTRIB.,ALLOC, INDEMNISATIONS",+IF(D267=8,"AMORTISSEMENT DE LA DETTE",+IF(D267=9,"AUTRES DEPENSES PUBLIQUES",0))))))))</f>
        <v>DEPENSES DE PERSONNEL</v>
      </c>
      <c r="F267" s="60" t="e">
        <f>SUMIFS([49]mensuel_section_article1!$E$3:$E$962,[49]mensuel_section_article1!$B$3:$B$962,C267,[49]mensuel_section_article1!$C$3:$C$962,D267)</f>
        <v>#VALUE!</v>
      </c>
      <c r="G267" s="60" t="e">
        <f>SUMIFS([49]mensuel_section_article1!$G$3:$G$962,[49]mensuel_section_article1!$B$3:$B$962,C267,[49]mensuel_section_article1!$C$3:$C$962,D267)</f>
        <v>#VALUE!</v>
      </c>
      <c r="H267" s="60">
        <v>47220749.990000002</v>
      </c>
      <c r="I267" s="60">
        <v>47220750</v>
      </c>
      <c r="J267" s="60">
        <v>47009830.690000005</v>
      </c>
      <c r="K267" s="60">
        <f t="shared" ref="K267:K269" si="142">+H267-J267</f>
        <v>210919.29999999702</v>
      </c>
      <c r="L267" s="61">
        <f>+J267/H267</f>
        <v>0.99553333439124403</v>
      </c>
      <c r="M267" s="60"/>
      <c r="N267" s="24"/>
      <c r="O267" s="9"/>
      <c r="Q267" s="66"/>
      <c r="AK267" s="64"/>
      <c r="AL267" s="64"/>
      <c r="AM267" s="64"/>
      <c r="AN267" s="64"/>
      <c r="AO267" s="11">
        <v>1115116</v>
      </c>
      <c r="AP267" s="65" t="str">
        <f>CONCATENATE(AO267,D267)</f>
        <v>11151161</v>
      </c>
    </row>
    <row r="268" spans="1:42" s="62" customFormat="1" ht="27.75" customHeight="1" thickTop="1" thickBot="1" x14ac:dyDescent="0.3">
      <c r="A268" s="56" t="s">
        <v>22</v>
      </c>
      <c r="B268" s="56" t="s">
        <v>22</v>
      </c>
      <c r="C268" s="57">
        <f>IF(A266="SECTION",D266,C266)</f>
        <v>1115116</v>
      </c>
      <c r="D268" s="58">
        <v>2</v>
      </c>
      <c r="E268" s="59" t="str">
        <f>IF(D268=1, "DEPENSES DE PERSONNEL",  +IF(D268=2,"DEPENSES DE SERVICES ET CHARGES DIVERSES", +IF(D268=3,"ACHATS DE BIENS DE CONSOMMATION ET PETITS MATERIELS",+IF(D268=4,"IMMOBILISATION CORPORELLE",+IF(D268=5,"IMMOBILISATION INCORPORELLE",+IF(D268=7,"SUBVENTIONS,QUOTES-PARTS ET CONTRIB.,ALLOC, INDEMNISATIONS",+IF(D268=8,"AMORTISSEMENT DE LA DETTE",+IF(D268=9,"AUTRES DEPENSES PUBLIQUES",0))))))))</f>
        <v>DEPENSES DE SERVICES ET CHARGES DIVERSES</v>
      </c>
      <c r="F268" s="60" t="e">
        <f>SUMIFS([49]mensuel_section_article1!$E$3:$E$962,[49]mensuel_section_article1!$B$3:$B$962,C268,[49]mensuel_section_article1!$C$3:$C$962,D268)</f>
        <v>#VALUE!</v>
      </c>
      <c r="G268" s="60" t="e">
        <f>SUMIFS([49]mensuel_section_article1!$G$3:$G$962,[49]mensuel_section_article1!$B$3:$B$962,C268,[49]mensuel_section_article1!$C$3:$C$962,D268)</f>
        <v>#VALUE!</v>
      </c>
      <c r="H268" s="60">
        <v>62901305.299999997</v>
      </c>
      <c r="I268" s="60">
        <v>62901305.299999997</v>
      </c>
      <c r="J268" s="60">
        <v>54924855.419999994</v>
      </c>
      <c r="K268" s="60">
        <f t="shared" si="142"/>
        <v>7976449.8800000027</v>
      </c>
      <c r="L268" s="61">
        <f>+J268/H268</f>
        <v>0.87319102772259949</v>
      </c>
      <c r="M268" s="60"/>
      <c r="N268" s="24"/>
      <c r="O268" s="9"/>
      <c r="Q268" s="66"/>
      <c r="AK268" s="64"/>
      <c r="AL268" s="64"/>
      <c r="AM268" s="64"/>
      <c r="AN268" s="64"/>
      <c r="AO268" s="11">
        <v>1115116</v>
      </c>
      <c r="AP268" s="65" t="str">
        <f>CONCATENATE(AO268,D268)</f>
        <v>11151162</v>
      </c>
    </row>
    <row r="269" spans="1:42" s="62" customFormat="1" ht="27.75" hidden="1" customHeight="1" thickTop="1" thickBot="1" x14ac:dyDescent="0.3">
      <c r="A269" s="56" t="s">
        <v>22</v>
      </c>
      <c r="B269" s="56" t="s">
        <v>22</v>
      </c>
      <c r="C269" s="57">
        <f>IF(A267="SECTION",D267,C267)</f>
        <v>1115116</v>
      </c>
      <c r="D269" s="58">
        <v>7</v>
      </c>
      <c r="E269" s="59" t="str">
        <f>IF(D269=1, "DEPENSES DE PERSONNEL",  +IF(D269=2,"DEPENSES DE SERVICES ET CHARGES DIVERSES", +IF(D269=3,"ACHATS DE BIENS DE CONSOMMATION ET PETITS MATERIELS",+IF(D269=4,"IMMOBILISATION CORPORELLE",+IF(D269=5,"IMMOBILISATION INCORPORELLE",+IF(D269=7,"SUBVENTIONS,QUOTES-PARTS ET CONTRIB.,ALLOC, INDEMNISATIONS",+IF(D269=8,"AMORTISSEMENT DE LA DETTE",+IF(D269=9,"AUTRES DEPENSES PUBLIQUES",0))))))))</f>
        <v>SUBVENTIONS,QUOTES-PARTS ET CONTRIB.,ALLOC, INDEMNISATIONS</v>
      </c>
      <c r="F269" s="60" t="e">
        <f>SUMIFS([49]mensuel_section_article1!$E$3:$E$962,[49]mensuel_section_article1!$B$3:$B$962,C269,[49]mensuel_section_article1!$C$3:$C$962,D269)</f>
        <v>#VALUE!</v>
      </c>
      <c r="G269" s="60" t="e">
        <f>SUMIFS([49]mensuel_section_article1!$G$3:$G$962,[49]mensuel_section_article1!$B$3:$B$962,C269,[49]mensuel_section_article1!$C$3:$C$962,D269)</f>
        <v>#VALUE!</v>
      </c>
      <c r="H269" s="60">
        <v>0</v>
      </c>
      <c r="I269" s="60">
        <v>0</v>
      </c>
      <c r="J269" s="60">
        <v>0</v>
      </c>
      <c r="K269" s="60">
        <f t="shared" si="142"/>
        <v>0</v>
      </c>
      <c r="L269" s="61" t="e">
        <f>IF(F269&lt;&gt;0,K269/F269,0)</f>
        <v>#VALUE!</v>
      </c>
      <c r="M269" s="60" t="e">
        <f>+SUMIFS([51]section_article!$H$10:$H$936,[51]section_article!$C$10:$C$936,C269,[51]section_article!$D$10:$D$936,D269)</f>
        <v>#VALUE!</v>
      </c>
      <c r="N269" s="24" t="e">
        <f>+J269-M269</f>
        <v>#VALUE!</v>
      </c>
      <c r="O269" s="9"/>
      <c r="Q269" s="66"/>
      <c r="AK269" s="64"/>
      <c r="AL269" s="64"/>
      <c r="AM269" s="64"/>
      <c r="AN269" s="64"/>
      <c r="AO269" s="11">
        <v>1115116</v>
      </c>
      <c r="AP269" s="65" t="str">
        <f>CONCATENATE(AO269,D269)</f>
        <v>11151167</v>
      </c>
    </row>
    <row r="270" spans="1:42" s="1" customFormat="1" ht="27.75" customHeight="1" thickTop="1" x14ac:dyDescent="0.25">
      <c r="A270" s="37" t="s">
        <v>16</v>
      </c>
      <c r="B270" s="37" t="s">
        <v>16</v>
      </c>
      <c r="C270" s="37" t="s">
        <v>16</v>
      </c>
      <c r="D270" s="73">
        <v>1116</v>
      </c>
      <c r="E270" s="74" t="s">
        <v>57</v>
      </c>
      <c r="F270" s="75" t="e">
        <f>SUMIF($B$271:$B$303,"chap",F271:F303)</f>
        <v>#VALUE!</v>
      </c>
      <c r="G270" s="75" t="e">
        <f>SUMIF($B$271:$B$303,"chap",G271:G303)</f>
        <v>#VALUE!</v>
      </c>
      <c r="H270" s="75">
        <f>SUMIF($B$271:$B$303,"chap",H271:H303)</f>
        <v>603121511.19599998</v>
      </c>
      <c r="I270" s="75">
        <v>620121511.19999993</v>
      </c>
      <c r="J270" s="75">
        <f>SUMIF($B$271:$B$303,"chap",J271:J303)</f>
        <v>598604490.3599999</v>
      </c>
      <c r="K270" s="75">
        <f>SUMIF($B$271:$B$303,"chap",K271:K303)</f>
        <v>4517020.8360000402</v>
      </c>
      <c r="L270" s="76">
        <f t="shared" ref="L270:L275" si="143">+J270/H270</f>
        <v>0.99251059570559375</v>
      </c>
      <c r="M270" s="75"/>
      <c r="N270" s="75"/>
      <c r="O270" s="9"/>
      <c r="Q270" s="23"/>
      <c r="AK270" s="77"/>
      <c r="AL270" s="77"/>
      <c r="AM270" s="77"/>
      <c r="AN270" s="77"/>
      <c r="AO270" s="11"/>
    </row>
    <row r="271" spans="1:42" s="49" customFormat="1" ht="27.75" customHeight="1" x14ac:dyDescent="0.25">
      <c r="A271" s="43" t="s">
        <v>19</v>
      </c>
      <c r="B271" s="43" t="s">
        <v>19</v>
      </c>
      <c r="C271" s="43" t="s">
        <v>19</v>
      </c>
      <c r="D271" s="44">
        <v>11161</v>
      </c>
      <c r="E271" s="45" t="str">
        <f>VLOOKUP(D271,[49]INST!$A$1:$B$626,2,FALSE)</f>
        <v>SERVICES INTERNES</v>
      </c>
      <c r="F271" s="46" t="e">
        <f>SUMIF($B$272:$B$303,"section",F272:F303)</f>
        <v>#VALUE!</v>
      </c>
      <c r="G271" s="46" t="e">
        <f>SUMIF($B$272:$B$303,"section",G272:G303)</f>
        <v>#VALUE!</v>
      </c>
      <c r="H271" s="46">
        <f>SUMIF($B$272:$B$303,"section",H272:H303)</f>
        <v>603121511.19599998</v>
      </c>
      <c r="I271" s="46">
        <v>620121511.19999993</v>
      </c>
      <c r="J271" s="46">
        <f>SUMIF($B$272:$B$303,"section",J272:J303)</f>
        <v>598604490.3599999</v>
      </c>
      <c r="K271" s="46">
        <f>SUMIF($B$272:$B$303,"section",K272:K303)</f>
        <v>4517020.8360000402</v>
      </c>
      <c r="L271" s="47">
        <f t="shared" si="143"/>
        <v>0.99251059570559375</v>
      </c>
      <c r="M271" s="46"/>
      <c r="N271" s="46"/>
      <c r="O271" s="48"/>
      <c r="AO271" s="11"/>
    </row>
    <row r="272" spans="1:42" s="1" customFormat="1" ht="27.75" customHeight="1" thickBot="1" x14ac:dyDescent="0.3">
      <c r="A272" s="50" t="s">
        <v>20</v>
      </c>
      <c r="B272" s="50" t="s">
        <v>20</v>
      </c>
      <c r="C272" s="50" t="s">
        <v>20</v>
      </c>
      <c r="D272" s="51">
        <v>1116111</v>
      </c>
      <c r="E272" s="67" t="s">
        <v>21</v>
      </c>
      <c r="F272" s="68" t="e">
        <f>SUMIF($B$273:$B$279,"article",F273:F279)</f>
        <v>#VALUE!</v>
      </c>
      <c r="G272" s="68" t="e">
        <f>SUMIF($B$273:$B$279,"article",G273:G279)</f>
        <v>#VALUE!</v>
      </c>
      <c r="H272" s="68">
        <f>SUMIF($B$273:$B$279,"article",H273:H279)</f>
        <v>96366872.790000007</v>
      </c>
      <c r="I272" s="68">
        <v>146426850.44</v>
      </c>
      <c r="J272" s="68">
        <f>SUMIF($B$273:$B$279,"article",J273:J279)</f>
        <v>147239886.06999999</v>
      </c>
      <c r="K272" s="68">
        <f>SUMIF($B$273:$B$279,"article",K273:K279)</f>
        <v>-50873013.279999986</v>
      </c>
      <c r="L272" s="69">
        <f t="shared" si="143"/>
        <v>1.5279097661585537</v>
      </c>
      <c r="M272" s="68"/>
      <c r="N272" s="68"/>
      <c r="O272" s="9"/>
      <c r="Q272" s="23"/>
      <c r="AK272" s="70"/>
      <c r="AL272" s="70"/>
      <c r="AM272" s="70"/>
      <c r="AN272" s="70"/>
      <c r="AO272" s="11">
        <v>1116111</v>
      </c>
    </row>
    <row r="273" spans="1:42" s="62" customFormat="1" ht="27.75" customHeight="1" thickTop="1" thickBot="1" x14ac:dyDescent="0.3">
      <c r="A273" s="56" t="s">
        <v>22</v>
      </c>
      <c r="B273" s="56" t="s">
        <v>22</v>
      </c>
      <c r="C273" s="57">
        <f t="shared" ref="C273:C279" si="144">IF(A272="SECTION",D272,C272)</f>
        <v>1116111</v>
      </c>
      <c r="D273" s="58">
        <v>1</v>
      </c>
      <c r="E273" s="59" t="str">
        <f t="shared" ref="E273:E279" si="145">IF(D273=1, "DEPENSES DE PERSONNEL",  +IF(D273=2,"DEPENSES DE SERVICES ET CHARGES DIVERSES", +IF(D273=3,"ACHATS DE BIENS DE CONSOMMATION ET PETITS MATERIELS",+IF(D273=4,"IMMOBILISATION CORPORELLE",+IF(D273=5,"IMMOBILISATION INCORPORELLE",+IF(D273=7,"SUBVENTIONS,QUOTES-PARTS ET CONTRIB.,ALLOC, INDEMNISATIONS",+IF(D273=8,"AMORTISSEMENT DE LA DETTE",+IF(D273=9,"AUTRES DEPENSES PUBLIQUES",0))))))))</f>
        <v>DEPENSES DE PERSONNEL</v>
      </c>
      <c r="F273" s="60" t="e">
        <f>SUMIFS([49]mensuel_section_article1!$E$3:$E$962,[49]mensuel_section_article1!$B$3:$B$962,C273,[49]mensuel_section_article1!$C$3:$C$962,D273)</f>
        <v>#VALUE!</v>
      </c>
      <c r="G273" s="60" t="e">
        <f>SUMIFS([49]mensuel_section_article1!$G$3:$G$962,[49]mensuel_section_article1!$B$3:$B$962,C273,[49]mensuel_section_article1!$C$3:$C$962,D273)</f>
        <v>#VALUE!</v>
      </c>
      <c r="H273" s="60">
        <v>50487005.960000001</v>
      </c>
      <c r="I273" s="60">
        <v>77482196.74000001</v>
      </c>
      <c r="J273" s="60">
        <v>78607526.979999989</v>
      </c>
      <c r="K273" s="60">
        <f t="shared" ref="K273:K279" si="146">+H273-J273</f>
        <v>-28120521.019999988</v>
      </c>
      <c r="L273" s="61">
        <f t="shared" si="143"/>
        <v>1.5569853170195793</v>
      </c>
      <c r="M273" s="60"/>
      <c r="N273" s="24"/>
      <c r="O273" s="9"/>
      <c r="Q273" s="63"/>
      <c r="AK273" s="64"/>
      <c r="AL273" s="64"/>
      <c r="AM273" s="64"/>
      <c r="AN273" s="64"/>
      <c r="AO273" s="11">
        <v>1116111</v>
      </c>
      <c r="AP273" s="65" t="str">
        <f t="shared" ref="AP273:AP279" si="147">CONCATENATE(AO273,D273)</f>
        <v>11161111</v>
      </c>
    </row>
    <row r="274" spans="1:42" s="62" customFormat="1" ht="27.75" customHeight="1" thickTop="1" thickBot="1" x14ac:dyDescent="0.3">
      <c r="A274" s="56" t="s">
        <v>22</v>
      </c>
      <c r="B274" s="56" t="s">
        <v>22</v>
      </c>
      <c r="C274" s="57">
        <f t="shared" si="144"/>
        <v>1116111</v>
      </c>
      <c r="D274" s="58">
        <v>2</v>
      </c>
      <c r="E274" s="59" t="str">
        <f t="shared" si="145"/>
        <v>DEPENSES DE SERVICES ET CHARGES DIVERSES</v>
      </c>
      <c r="F274" s="60" t="e">
        <f>SUMIFS([49]mensuel_section_article1!$E$3:$E$962,[49]mensuel_section_article1!$B$3:$B$962,C274,[49]mensuel_section_article1!$C$3:$C$962,D274)</f>
        <v>#VALUE!</v>
      </c>
      <c r="G274" s="60" t="e">
        <f>SUMIFS([49]mensuel_section_article1!$G$3:$G$962,[49]mensuel_section_article1!$B$3:$B$962,C274,[49]mensuel_section_article1!$C$3:$C$962,D274)</f>
        <v>#VALUE!</v>
      </c>
      <c r="H274" s="60">
        <v>9068990.4400000013</v>
      </c>
      <c r="I274" s="60">
        <v>18232381.299999997</v>
      </c>
      <c r="J274" s="60">
        <v>17920819.07</v>
      </c>
      <c r="K274" s="60">
        <f t="shared" si="146"/>
        <v>-8851828.629999999</v>
      </c>
      <c r="L274" s="61">
        <f t="shared" si="143"/>
        <v>1.9760544669843094</v>
      </c>
      <c r="M274" s="60"/>
      <c r="N274" s="24"/>
      <c r="O274" s="9"/>
      <c r="Q274" s="66"/>
      <c r="AK274" s="64"/>
      <c r="AL274" s="64"/>
      <c r="AM274" s="64"/>
      <c r="AN274" s="64"/>
      <c r="AO274" s="11">
        <v>1116111</v>
      </c>
      <c r="AP274" s="65" t="str">
        <f t="shared" si="147"/>
        <v>11161112</v>
      </c>
    </row>
    <row r="275" spans="1:42" s="62" customFormat="1" ht="27.75" customHeight="1" thickTop="1" thickBot="1" x14ac:dyDescent="0.3">
      <c r="A275" s="56" t="s">
        <v>22</v>
      </c>
      <c r="B275" s="56" t="s">
        <v>22</v>
      </c>
      <c r="C275" s="57">
        <f t="shared" si="144"/>
        <v>1116111</v>
      </c>
      <c r="D275" s="58">
        <v>3</v>
      </c>
      <c r="E275" s="59" t="str">
        <f t="shared" si="145"/>
        <v>ACHATS DE BIENS DE CONSOMMATION ET PETITS MATERIELS</v>
      </c>
      <c r="F275" s="60" t="e">
        <f>SUMIFS([49]mensuel_section_article1!$E$3:$E$962,[49]mensuel_section_article1!$B$3:$B$962,C275,[49]mensuel_section_article1!$C$3:$C$962,D275)</f>
        <v>#VALUE!</v>
      </c>
      <c r="G275" s="60" t="e">
        <f>SUMIFS([49]mensuel_section_article1!$G$3:$G$962,[49]mensuel_section_article1!$B$3:$B$962,C275,[49]mensuel_section_article1!$C$3:$C$962,D275)</f>
        <v>#VALUE!</v>
      </c>
      <c r="H275" s="60">
        <v>26827304.16</v>
      </c>
      <c r="I275" s="60">
        <v>49974703.200000003</v>
      </c>
      <c r="J275" s="60">
        <v>49974540.019999996</v>
      </c>
      <c r="K275" s="60">
        <f t="shared" si="146"/>
        <v>-23147235.859999996</v>
      </c>
      <c r="L275" s="61">
        <f t="shared" si="143"/>
        <v>1.862823775432231</v>
      </c>
      <c r="M275" s="60"/>
      <c r="N275" s="24"/>
      <c r="O275" s="9"/>
      <c r="Q275" s="63"/>
      <c r="AK275" s="64"/>
      <c r="AL275" s="64"/>
      <c r="AM275" s="64"/>
      <c r="AN275" s="64"/>
      <c r="AO275" s="11">
        <v>1116111</v>
      </c>
      <c r="AP275" s="65" t="str">
        <f t="shared" si="147"/>
        <v>11161113</v>
      </c>
    </row>
    <row r="276" spans="1:42" s="62" customFormat="1" ht="27.75" hidden="1" customHeight="1" thickTop="1" thickBot="1" x14ac:dyDescent="0.3">
      <c r="A276" s="56" t="s">
        <v>22</v>
      </c>
      <c r="B276" s="56" t="s">
        <v>22</v>
      </c>
      <c r="C276" s="57">
        <f t="shared" si="144"/>
        <v>1116111</v>
      </c>
      <c r="D276" s="58">
        <v>4</v>
      </c>
      <c r="E276" s="59" t="str">
        <f t="shared" si="145"/>
        <v>IMMOBILISATION CORPORELLE</v>
      </c>
      <c r="F276" s="60" t="e">
        <f>SUMIFS([49]mensuel_section_article1!$E$3:$E$962,[49]mensuel_section_article1!$B$3:$B$962,C276,[49]mensuel_section_article1!$C$3:$C$962,D276)</f>
        <v>#VALUE!</v>
      </c>
      <c r="G276" s="60" t="e">
        <f>SUMIFS([49]mensuel_section_article1!$G$3:$G$962,[49]mensuel_section_article1!$B$3:$B$962,C276,[49]mensuel_section_article1!$C$3:$C$962,D276)</f>
        <v>#VALUE!</v>
      </c>
      <c r="H276" s="60">
        <v>0</v>
      </c>
      <c r="I276" s="60">
        <v>0</v>
      </c>
      <c r="J276" s="60">
        <v>0</v>
      </c>
      <c r="K276" s="60">
        <f t="shared" si="146"/>
        <v>0</v>
      </c>
      <c r="L276" s="61" t="e">
        <f>IF(F276&lt;&gt;0,K276/F276,0)</f>
        <v>#VALUE!</v>
      </c>
      <c r="M276" s="60" t="e">
        <f>+SUMIFS([51]section_article!$H$10:$H$936,[51]section_article!$C$10:$C$936,C276,[51]section_article!$D$10:$D$936,D276)</f>
        <v>#VALUE!</v>
      </c>
      <c r="N276" s="24" t="e">
        <f t="shared" ref="N273:N279" si="148">+J276-M276</f>
        <v>#VALUE!</v>
      </c>
      <c r="O276" s="9" t="e">
        <f>+#REF!</f>
        <v>#REF!</v>
      </c>
      <c r="Q276" s="63">
        <f>300*62.5</f>
        <v>18750</v>
      </c>
      <c r="AK276" s="64"/>
      <c r="AL276" s="64"/>
      <c r="AM276" s="64"/>
      <c r="AN276" s="64"/>
      <c r="AO276" s="11">
        <v>1116111</v>
      </c>
      <c r="AP276" s="65" t="str">
        <f t="shared" si="147"/>
        <v>11161114</v>
      </c>
    </row>
    <row r="277" spans="1:42" s="62" customFormat="1" ht="27.75" hidden="1" customHeight="1" thickTop="1" thickBot="1" x14ac:dyDescent="0.3">
      <c r="A277" s="56" t="s">
        <v>22</v>
      </c>
      <c r="B277" s="56" t="s">
        <v>22</v>
      </c>
      <c r="C277" s="57">
        <f t="shared" si="144"/>
        <v>1116111</v>
      </c>
      <c r="D277" s="58">
        <v>5</v>
      </c>
      <c r="E277" s="59" t="str">
        <f t="shared" si="145"/>
        <v>IMMOBILISATION INCORPORELLE</v>
      </c>
      <c r="F277" s="60" t="e">
        <f>SUMIFS([49]mensuel_section_article1!$E$3:$E$962,[49]mensuel_section_article1!$B$3:$B$962,C277,[49]mensuel_section_article1!$C$3:$C$962,D277)</f>
        <v>#VALUE!</v>
      </c>
      <c r="G277" s="60" t="e">
        <f>SUMIFS([49]mensuel_section_article1!$G$3:$G$962,[49]mensuel_section_article1!$B$3:$B$962,C277,[49]mensuel_section_article1!$C$3:$C$962,D277)</f>
        <v>#VALUE!</v>
      </c>
      <c r="H277" s="60">
        <v>0</v>
      </c>
      <c r="I277" s="60">
        <v>0</v>
      </c>
      <c r="J277" s="60">
        <v>0</v>
      </c>
      <c r="K277" s="60">
        <f t="shared" si="146"/>
        <v>0</v>
      </c>
      <c r="L277" s="61" t="e">
        <f>IF(F277&lt;&gt;0,K277/F277,0)</f>
        <v>#VALUE!</v>
      </c>
      <c r="M277" s="60" t="e">
        <f>+SUMIFS([51]section_article!$H$10:$H$936,[51]section_article!$C$10:$C$936,C277,[51]section_article!$D$10:$D$936,D277)</f>
        <v>#VALUE!</v>
      </c>
      <c r="N277" s="24" t="e">
        <f t="shared" si="148"/>
        <v>#VALUE!</v>
      </c>
      <c r="O277" s="9"/>
      <c r="Q277" s="63">
        <f>+Q273-Q276</f>
        <v>-18750</v>
      </c>
      <c r="AK277" s="64"/>
      <c r="AL277" s="64"/>
      <c r="AM277" s="64"/>
      <c r="AN277" s="64"/>
      <c r="AO277" s="11">
        <v>1116111</v>
      </c>
      <c r="AP277" s="65" t="str">
        <f t="shared" si="147"/>
        <v>11161115</v>
      </c>
    </row>
    <row r="278" spans="1:42" s="62" customFormat="1" ht="27.75" hidden="1" customHeight="1" thickTop="1" thickBot="1" x14ac:dyDescent="0.3">
      <c r="A278" s="56" t="s">
        <v>22</v>
      </c>
      <c r="B278" s="56" t="s">
        <v>22</v>
      </c>
      <c r="C278" s="57">
        <f t="shared" si="144"/>
        <v>1116111</v>
      </c>
      <c r="D278" s="58">
        <v>7</v>
      </c>
      <c r="E278" s="59" t="str">
        <f t="shared" si="145"/>
        <v>SUBVENTIONS,QUOTES-PARTS ET CONTRIB.,ALLOC, INDEMNISATIONS</v>
      </c>
      <c r="F278" s="60" t="e">
        <f>SUMIFS([49]mensuel_section_article1!$E$3:$E$962,[49]mensuel_section_article1!$B$3:$B$962,C278,[49]mensuel_section_article1!$C$3:$C$962,D278)</f>
        <v>#VALUE!</v>
      </c>
      <c r="G278" s="60" t="e">
        <f>SUMIFS([49]mensuel_section_article1!$G$3:$G$962,[49]mensuel_section_article1!$B$3:$B$962,C278,[49]mensuel_section_article1!$C$3:$C$962,D278)</f>
        <v>#VALUE!</v>
      </c>
      <c r="H278" s="60">
        <v>0</v>
      </c>
      <c r="I278" s="60">
        <v>0</v>
      </c>
      <c r="J278" s="60">
        <v>0</v>
      </c>
      <c r="K278" s="60">
        <f t="shared" si="146"/>
        <v>0</v>
      </c>
      <c r="L278" s="61" t="e">
        <f>IF(F278&lt;&gt;0,K278/F278,0)</f>
        <v>#VALUE!</v>
      </c>
      <c r="M278" s="60" t="e">
        <f>+SUMIFS([51]section_article!$H$10:$H$936,[51]section_article!$C$10:$C$936,C278,[51]section_article!$D$10:$D$936,D278)</f>
        <v>#VALUE!</v>
      </c>
      <c r="N278" s="24" t="e">
        <f t="shared" si="148"/>
        <v>#VALUE!</v>
      </c>
      <c r="O278" s="9"/>
      <c r="Q278" s="63"/>
      <c r="AK278" s="64"/>
      <c r="AL278" s="64"/>
      <c r="AM278" s="64"/>
      <c r="AN278" s="64"/>
      <c r="AO278" s="11">
        <v>1116111</v>
      </c>
      <c r="AP278" s="65" t="str">
        <f t="shared" si="147"/>
        <v>11161117</v>
      </c>
    </row>
    <row r="279" spans="1:42" s="62" customFormat="1" ht="27.75" customHeight="1" thickTop="1" thickBot="1" x14ac:dyDescent="0.3">
      <c r="A279" s="56" t="s">
        <v>22</v>
      </c>
      <c r="B279" s="56" t="s">
        <v>22</v>
      </c>
      <c r="C279" s="57">
        <f t="shared" si="144"/>
        <v>1116111</v>
      </c>
      <c r="D279" s="58">
        <v>9</v>
      </c>
      <c r="E279" s="59" t="str">
        <f t="shared" si="145"/>
        <v>AUTRES DEPENSES PUBLIQUES</v>
      </c>
      <c r="F279" s="60" t="e">
        <f>SUMIFS([49]mensuel_section_article1!$E$3:$E$962,[49]mensuel_section_article1!$B$3:$B$962,C279,[49]mensuel_section_article1!$C$3:$C$962,D279)</f>
        <v>#VALUE!</v>
      </c>
      <c r="G279" s="60" t="e">
        <f>SUMIFS([49]mensuel_section_article1!$G$3:$G$962,[49]mensuel_section_article1!$B$3:$B$962,C279,[49]mensuel_section_article1!$C$3:$C$962,D279)</f>
        <v>#VALUE!</v>
      </c>
      <c r="H279" s="60">
        <v>9983572.2300000004</v>
      </c>
      <c r="I279" s="60">
        <v>737569.2</v>
      </c>
      <c r="J279" s="60">
        <v>737000</v>
      </c>
      <c r="K279" s="60">
        <f t="shared" si="146"/>
        <v>9246572.2300000004</v>
      </c>
      <c r="L279" s="61">
        <f t="shared" ref="L279:L287" si="149">+J279/H279</f>
        <v>7.3821271887567638E-2</v>
      </c>
      <c r="M279" s="60"/>
      <c r="N279" s="24"/>
      <c r="O279" s="9"/>
      <c r="Q279" s="63"/>
      <c r="AK279" s="64"/>
      <c r="AL279" s="64"/>
      <c r="AM279" s="64"/>
      <c r="AN279" s="64"/>
      <c r="AO279" s="11">
        <v>1116111</v>
      </c>
      <c r="AP279" s="65" t="str">
        <f t="shared" si="147"/>
        <v>11161119</v>
      </c>
    </row>
    <row r="280" spans="1:42" s="1" customFormat="1" ht="27.75" customHeight="1" thickTop="1" thickBot="1" x14ac:dyDescent="0.3">
      <c r="A280" s="50" t="s">
        <v>20</v>
      </c>
      <c r="B280" s="50" t="s">
        <v>20</v>
      </c>
      <c r="C280" s="50" t="s">
        <v>20</v>
      </c>
      <c r="D280" s="51">
        <v>1116112</v>
      </c>
      <c r="E280" s="67" t="s">
        <v>23</v>
      </c>
      <c r="F280" s="68" t="e">
        <f>SUMIF($B$297:$B$303,"article",F281:F287)</f>
        <v>#VALUE!</v>
      </c>
      <c r="G280" s="68" t="e">
        <f>SUMIF($B$297:$B$303,"article",G281:G287)</f>
        <v>#VALUE!</v>
      </c>
      <c r="H280" s="68">
        <f>SUMIF($B$297:$B$303,"article",H281:H287)</f>
        <v>506754638.40600002</v>
      </c>
      <c r="I280" s="68">
        <v>473694660.75999993</v>
      </c>
      <c r="J280" s="68">
        <f>SUMIF($B$297:$B$303,"article",J281:J287)</f>
        <v>451364604.28999996</v>
      </c>
      <c r="K280" s="68">
        <f>SUMIF($B$297:$B$303,"article",K281:K287)</f>
        <v>55390034.116000026</v>
      </c>
      <c r="L280" s="69">
        <f t="shared" si="149"/>
        <v>0.89069654243278407</v>
      </c>
      <c r="M280" s="68"/>
      <c r="N280" s="68"/>
      <c r="O280" s="9"/>
      <c r="Q280" s="23"/>
      <c r="AK280" s="70"/>
      <c r="AL280" s="70"/>
      <c r="AM280" s="70"/>
      <c r="AN280" s="70"/>
      <c r="AO280" s="11">
        <v>1116112</v>
      </c>
    </row>
    <row r="281" spans="1:42" s="62" customFormat="1" ht="27.75" customHeight="1" thickTop="1" thickBot="1" x14ac:dyDescent="0.3">
      <c r="A281" s="56" t="s">
        <v>22</v>
      </c>
      <c r="B281" s="56" t="s">
        <v>22</v>
      </c>
      <c r="C281" s="57">
        <f t="shared" ref="C281:C287" si="150">IF(A280="SECTION",D280,C280)</f>
        <v>1116112</v>
      </c>
      <c r="D281" s="58">
        <v>1</v>
      </c>
      <c r="E281" s="59" t="str">
        <f t="shared" ref="E281:E287" si="151">IF(D281=1, "DEPENSES DE PERSONNEL",  +IF(D281=2,"DEPENSES DE SERVICES ET CHARGES DIVERSES", +IF(D281=3,"ACHATS DE BIENS DE CONSOMMATION ET PETITS MATERIELS",+IF(D281=4,"IMMOBILISATION CORPORELLE",+IF(D281=5,"IMMOBILISATION INCORPORELLE",+IF(D281=7,"SUBVENTIONS,QUOTES-PARTS ET CONTRIB.,ALLOC, INDEMNISATIONS",+IF(D281=8,"AMORTISSEMENT DE LA DETTE",+IF(D281=9,"AUTRES DEPENSES PUBLIQUES",0))))))))</f>
        <v>DEPENSES DE PERSONNEL</v>
      </c>
      <c r="F281" s="60" t="e">
        <f>SUMIFS([49]mensuel_section_article1!$E$3:$E$962,[49]mensuel_section_article1!$B$3:$B$962,C281,[49]mensuel_section_article1!$C$3:$C$962,D281)</f>
        <v>#VALUE!</v>
      </c>
      <c r="G281" s="60" t="e">
        <f>SUMIFS([49]mensuel_section_article1!$G$3:$G$962,[49]mensuel_section_article1!$B$3:$B$962,C281,[49]mensuel_section_article1!$C$3:$C$962,D281)</f>
        <v>#VALUE!</v>
      </c>
      <c r="H281" s="60">
        <v>371335345.92000002</v>
      </c>
      <c r="I281" s="60">
        <v>361340155.15999997</v>
      </c>
      <c r="J281" s="60">
        <v>343497835.50999999</v>
      </c>
      <c r="K281" s="60">
        <f t="shared" ref="K281:K287" si="152">+H281-J281</f>
        <v>27837510.410000026</v>
      </c>
      <c r="L281" s="61">
        <f t="shared" si="149"/>
        <v>0.92503404075087081</v>
      </c>
      <c r="M281" s="60"/>
      <c r="N281" s="24"/>
      <c r="O281" s="9"/>
      <c r="Q281" s="63"/>
      <c r="AK281" s="64"/>
      <c r="AL281" s="64"/>
      <c r="AM281" s="64"/>
      <c r="AN281" s="64"/>
      <c r="AO281" s="11">
        <v>1116112</v>
      </c>
      <c r="AP281" s="65" t="str">
        <f t="shared" ref="AP281:AP287" si="153">CONCATENATE(AO281,D281)</f>
        <v>11161121</v>
      </c>
    </row>
    <row r="282" spans="1:42" s="62" customFormat="1" ht="27.75" customHeight="1" thickTop="1" thickBot="1" x14ac:dyDescent="0.3">
      <c r="A282" s="56" t="s">
        <v>22</v>
      </c>
      <c r="B282" s="56" t="s">
        <v>22</v>
      </c>
      <c r="C282" s="57">
        <f t="shared" si="150"/>
        <v>1116112</v>
      </c>
      <c r="D282" s="58">
        <v>2</v>
      </c>
      <c r="E282" s="59" t="str">
        <f t="shared" si="151"/>
        <v>DEPENSES DE SERVICES ET CHARGES DIVERSES</v>
      </c>
      <c r="F282" s="60" t="e">
        <f>SUMIFS([49]mensuel_section_article1!$E$3:$E$962,[49]mensuel_section_article1!$B$3:$B$962,C282,[49]mensuel_section_article1!$C$3:$C$962,D282)</f>
        <v>#VALUE!</v>
      </c>
      <c r="G282" s="60" t="e">
        <f>SUMIFS([49]mensuel_section_article1!$G$3:$G$962,[49]mensuel_section_article1!$B$3:$B$962,C282,[49]mensuel_section_article1!$C$3:$C$962,D282)</f>
        <v>#VALUE!</v>
      </c>
      <c r="H282" s="60">
        <v>37414363.770000003</v>
      </c>
      <c r="I282" s="60">
        <v>20030043</v>
      </c>
      <c r="J282" s="60">
        <v>18982325.129999999</v>
      </c>
      <c r="K282" s="60">
        <f t="shared" si="152"/>
        <v>18432038.640000004</v>
      </c>
      <c r="L282" s="61">
        <f t="shared" si="149"/>
        <v>0.50735394691438307</v>
      </c>
      <c r="M282" s="60"/>
      <c r="N282" s="24"/>
      <c r="O282" s="9"/>
      <c r="Q282" s="63"/>
      <c r="AK282" s="64"/>
      <c r="AL282" s="64"/>
      <c r="AM282" s="64"/>
      <c r="AN282" s="64"/>
      <c r="AO282" s="11">
        <v>1116112</v>
      </c>
      <c r="AP282" s="65" t="str">
        <f t="shared" si="153"/>
        <v>11161122</v>
      </c>
    </row>
    <row r="283" spans="1:42" s="62" customFormat="1" ht="27.75" customHeight="1" thickTop="1" thickBot="1" x14ac:dyDescent="0.3">
      <c r="A283" s="56" t="s">
        <v>22</v>
      </c>
      <c r="B283" s="56" t="s">
        <v>22</v>
      </c>
      <c r="C283" s="57">
        <f t="shared" si="150"/>
        <v>1116112</v>
      </c>
      <c r="D283" s="58">
        <v>3</v>
      </c>
      <c r="E283" s="59" t="str">
        <f t="shared" si="151"/>
        <v>ACHATS DE BIENS DE CONSOMMATION ET PETITS MATERIELS</v>
      </c>
      <c r="F283" s="60" t="e">
        <f>SUMIFS([49]mensuel_section_article1!$E$3:$E$962,[49]mensuel_section_article1!$B$3:$B$962,C283,[49]mensuel_section_article1!$C$3:$C$962,D283)</f>
        <v>#VALUE!</v>
      </c>
      <c r="G283" s="60" t="e">
        <f>SUMIFS([49]mensuel_section_article1!$G$3:$G$962,[49]mensuel_section_article1!$B$3:$B$962,C283,[49]mensuel_section_article1!$C$3:$C$962,D283)</f>
        <v>#VALUE!</v>
      </c>
      <c r="H283" s="60">
        <v>16884741.939999998</v>
      </c>
      <c r="I283" s="60">
        <v>24520941.59</v>
      </c>
      <c r="J283" s="60">
        <v>23584570.859999999</v>
      </c>
      <c r="K283" s="60">
        <f t="shared" si="152"/>
        <v>-6699828.9200000018</v>
      </c>
      <c r="L283" s="61">
        <f t="shared" si="149"/>
        <v>1.3967978275183519</v>
      </c>
      <c r="M283" s="60"/>
      <c r="N283" s="24"/>
      <c r="O283" s="9"/>
      <c r="Q283" s="63"/>
      <c r="AK283" s="64"/>
      <c r="AL283" s="64"/>
      <c r="AM283" s="64"/>
      <c r="AN283" s="64"/>
      <c r="AO283" s="11">
        <v>1116112</v>
      </c>
      <c r="AP283" s="65" t="str">
        <f t="shared" si="153"/>
        <v>11161123</v>
      </c>
    </row>
    <row r="284" spans="1:42" s="62" customFormat="1" ht="27.75" customHeight="1" thickTop="1" thickBot="1" x14ac:dyDescent="0.3">
      <c r="A284" s="56" t="s">
        <v>22</v>
      </c>
      <c r="B284" s="56" t="s">
        <v>22</v>
      </c>
      <c r="C284" s="57">
        <f t="shared" si="150"/>
        <v>1116112</v>
      </c>
      <c r="D284" s="58">
        <v>4</v>
      </c>
      <c r="E284" s="59" t="str">
        <f t="shared" si="151"/>
        <v>IMMOBILISATION CORPORELLE</v>
      </c>
      <c r="F284" s="60" t="e">
        <f>SUMIFS([49]mensuel_section_article1!$E$3:$E$962,[49]mensuel_section_article1!$B$3:$B$962,C284,[49]mensuel_section_article1!$C$3:$C$962,D284)</f>
        <v>#VALUE!</v>
      </c>
      <c r="G284" s="60" t="e">
        <f>SUMIFS([49]mensuel_section_article1!$G$3:$G$962,[49]mensuel_section_article1!$B$3:$B$962,C284,[49]mensuel_section_article1!$C$3:$C$962,D284)</f>
        <v>#VALUE!</v>
      </c>
      <c r="H284" s="60">
        <v>11048843.766000001</v>
      </c>
      <c r="I284" s="60">
        <v>28446845.800000001</v>
      </c>
      <c r="J284" s="60">
        <v>27961554.27</v>
      </c>
      <c r="K284" s="60">
        <f t="shared" si="152"/>
        <v>-16912710.504000001</v>
      </c>
      <c r="L284" s="61">
        <f t="shared" si="149"/>
        <v>2.5307222060687069</v>
      </c>
      <c r="M284" s="60"/>
      <c r="N284" s="24"/>
      <c r="O284" s="9"/>
      <c r="Q284" s="63"/>
      <c r="AK284" s="64"/>
      <c r="AL284" s="64"/>
      <c r="AM284" s="64"/>
      <c r="AN284" s="64"/>
      <c r="AO284" s="11">
        <v>1116112</v>
      </c>
      <c r="AP284" s="65" t="str">
        <f t="shared" si="153"/>
        <v>11161124</v>
      </c>
    </row>
    <row r="285" spans="1:42" s="62" customFormat="1" ht="27.75" customHeight="1" thickTop="1" thickBot="1" x14ac:dyDescent="0.3">
      <c r="A285" s="56" t="s">
        <v>22</v>
      </c>
      <c r="B285" s="56" t="s">
        <v>22</v>
      </c>
      <c r="C285" s="57">
        <f t="shared" si="150"/>
        <v>1116112</v>
      </c>
      <c r="D285" s="58">
        <v>5</v>
      </c>
      <c r="E285" s="59" t="str">
        <f t="shared" si="151"/>
        <v>IMMOBILISATION INCORPORELLE</v>
      </c>
      <c r="F285" s="60" t="e">
        <f>SUMIFS([49]mensuel_section_article1!$E$3:$E$962,[49]mensuel_section_article1!$B$3:$B$962,C285,[49]mensuel_section_article1!$C$3:$C$962,D285)</f>
        <v>#VALUE!</v>
      </c>
      <c r="G285" s="60" t="e">
        <f>SUMIFS([49]mensuel_section_article1!$G$3:$G$962,[49]mensuel_section_article1!$B$3:$B$962,C285,[49]mensuel_section_article1!$C$3:$C$962,D285)</f>
        <v>#VALUE!</v>
      </c>
      <c r="H285" s="60">
        <v>2000000.04</v>
      </c>
      <c r="I285" s="60">
        <v>1001</v>
      </c>
      <c r="J285" s="60">
        <v>0</v>
      </c>
      <c r="K285" s="60">
        <f t="shared" si="152"/>
        <v>2000000.04</v>
      </c>
      <c r="L285" s="61">
        <f t="shared" si="149"/>
        <v>0</v>
      </c>
      <c r="M285" s="60"/>
      <c r="N285" s="24"/>
      <c r="O285" s="9"/>
      <c r="Q285" s="63"/>
      <c r="AK285" s="64"/>
      <c r="AL285" s="64"/>
      <c r="AM285" s="64"/>
      <c r="AN285" s="64"/>
      <c r="AO285" s="11">
        <v>1116112</v>
      </c>
      <c r="AP285" s="65" t="str">
        <f t="shared" si="153"/>
        <v>11161125</v>
      </c>
    </row>
    <row r="286" spans="1:42" s="62" customFormat="1" ht="27.75" customHeight="1" thickTop="1" thickBot="1" x14ac:dyDescent="0.3">
      <c r="A286" s="56" t="s">
        <v>22</v>
      </c>
      <c r="B286" s="56" t="s">
        <v>22</v>
      </c>
      <c r="C286" s="57">
        <f t="shared" si="150"/>
        <v>1116112</v>
      </c>
      <c r="D286" s="58">
        <v>7</v>
      </c>
      <c r="E286" s="59" t="str">
        <f t="shared" si="151"/>
        <v>SUBVENTIONS,QUOTES-PARTS ET CONTRIB.,ALLOC, INDEMNISATIONS</v>
      </c>
      <c r="F286" s="60" t="e">
        <f>SUMIFS([49]mensuel_section_article1!$E$3:$E$962,[49]mensuel_section_article1!$B$3:$B$962,C286,[49]mensuel_section_article1!$C$3:$C$962,D286)</f>
        <v>#VALUE!</v>
      </c>
      <c r="G286" s="60" t="e">
        <f>SUMIFS([49]mensuel_section_article1!$G$3:$G$962,[49]mensuel_section_article1!$B$3:$B$962,C286,[49]mensuel_section_article1!$C$3:$C$962,D286)</f>
        <v>#VALUE!</v>
      </c>
      <c r="H286" s="60">
        <v>5959551.9699999997</v>
      </c>
      <c r="I286" s="60">
        <v>5959552</v>
      </c>
      <c r="J286" s="60">
        <v>3968246.65</v>
      </c>
      <c r="K286" s="60">
        <f t="shared" si="152"/>
        <v>1991305.3199999998</v>
      </c>
      <c r="L286" s="61">
        <f t="shared" si="149"/>
        <v>0.66586325112624201</v>
      </c>
      <c r="M286" s="60"/>
      <c r="N286" s="24"/>
      <c r="O286" s="9"/>
      <c r="Q286" s="66"/>
      <c r="AK286" s="64"/>
      <c r="AL286" s="64"/>
      <c r="AM286" s="64"/>
      <c r="AN286" s="64"/>
      <c r="AO286" s="11">
        <v>1116112</v>
      </c>
      <c r="AP286" s="65" t="str">
        <f t="shared" si="153"/>
        <v>11161127</v>
      </c>
    </row>
    <row r="287" spans="1:42" s="62" customFormat="1" ht="27.75" customHeight="1" thickTop="1" thickBot="1" x14ac:dyDescent="0.3">
      <c r="A287" s="56" t="s">
        <v>22</v>
      </c>
      <c r="B287" s="56" t="s">
        <v>22</v>
      </c>
      <c r="C287" s="57">
        <f t="shared" si="150"/>
        <v>1116112</v>
      </c>
      <c r="D287" s="58">
        <v>9</v>
      </c>
      <c r="E287" s="59" t="str">
        <f t="shared" si="151"/>
        <v>AUTRES DEPENSES PUBLIQUES</v>
      </c>
      <c r="F287" s="60" t="e">
        <f>SUMIFS([49]mensuel_section_article1!$E$3:$E$962,[49]mensuel_section_article1!$B$3:$B$962,C287,[49]mensuel_section_article1!$C$3:$C$962,D287)</f>
        <v>#VALUE!</v>
      </c>
      <c r="G287" s="60" t="e">
        <f>SUMIFS([49]mensuel_section_article1!$G$3:$G$962,[49]mensuel_section_article1!$B$3:$B$962,C287,[49]mensuel_section_article1!$C$3:$C$962,D287)</f>
        <v>#VALUE!</v>
      </c>
      <c r="H287" s="60">
        <v>62111791</v>
      </c>
      <c r="I287" s="60">
        <v>33396122.210000001</v>
      </c>
      <c r="J287" s="60">
        <v>33370071.870000001</v>
      </c>
      <c r="K287" s="60">
        <f t="shared" si="152"/>
        <v>28741719.129999999</v>
      </c>
      <c r="L287" s="61">
        <f t="shared" si="149"/>
        <v>0.53725824570088476</v>
      </c>
      <c r="M287" s="60"/>
      <c r="N287" s="24"/>
      <c r="O287" s="9"/>
      <c r="Q287" s="63"/>
      <c r="AK287" s="64"/>
      <c r="AL287" s="64"/>
      <c r="AM287" s="64"/>
      <c r="AN287" s="64"/>
      <c r="AO287" s="11">
        <v>1116112</v>
      </c>
      <c r="AP287" s="65" t="str">
        <f t="shared" si="153"/>
        <v>11161129</v>
      </c>
    </row>
    <row r="288" spans="1:42" s="1" customFormat="1" ht="27.75" hidden="1" customHeight="1" thickTop="1" thickBot="1" x14ac:dyDescent="0.3">
      <c r="A288" s="50" t="s">
        <v>20</v>
      </c>
      <c r="B288" s="50" t="s">
        <v>20</v>
      </c>
      <c r="C288" s="50" t="s">
        <v>20</v>
      </c>
      <c r="D288" s="51">
        <v>1116113</v>
      </c>
      <c r="E288" s="67" t="s">
        <v>58</v>
      </c>
      <c r="F288" s="68" t="e">
        <f>SUMIF($B$297:$B$303,"article",F289:F295)</f>
        <v>#VALUE!</v>
      </c>
      <c r="G288" s="68" t="e">
        <f>SUMIF($B$297:$B$303,"article",G289:G295)</f>
        <v>#VALUE!</v>
      </c>
      <c r="H288" s="68">
        <f>SUMIF($B$297:$B$303,"article",H289:H295)</f>
        <v>0</v>
      </c>
      <c r="I288" s="68">
        <v>0</v>
      </c>
      <c r="J288" s="68">
        <f>SUMIF($B$297:$B$303,"article",J289:J295)</f>
        <v>0</v>
      </c>
      <c r="K288" s="68">
        <f>SUMIF($B$297:$B$303,"article",K289:K295)</f>
        <v>0</v>
      </c>
      <c r="L288" s="69" t="e">
        <f t="shared" ref="L288:L303" si="154">IF(F288&lt;&gt;0,K288/F288,0)</f>
        <v>#VALUE!</v>
      </c>
      <c r="M288" s="68" t="e">
        <f>SUMIF($B$297:$B$303,"article",M289:M295)</f>
        <v>#VALUE!</v>
      </c>
      <c r="N288" s="68" t="e">
        <f>SUMIF($B$297:$B$303,"article",N289:N295)</f>
        <v>#VALUE!</v>
      </c>
      <c r="O288" s="9"/>
      <c r="Q288" s="23"/>
      <c r="AK288" s="70"/>
      <c r="AL288" s="70"/>
      <c r="AM288" s="70"/>
      <c r="AN288" s="70"/>
      <c r="AO288" s="11">
        <v>1116112</v>
      </c>
    </row>
    <row r="289" spans="1:42" s="62" customFormat="1" ht="27.75" hidden="1" customHeight="1" thickTop="1" thickBot="1" x14ac:dyDescent="0.3">
      <c r="A289" s="56" t="s">
        <v>22</v>
      </c>
      <c r="B289" s="56" t="s">
        <v>22</v>
      </c>
      <c r="C289" s="57">
        <f t="shared" ref="C289:C295" si="155">IF(A288="SECTION",D288,C288)</f>
        <v>1116113</v>
      </c>
      <c r="D289" s="58">
        <v>1</v>
      </c>
      <c r="E289" s="59" t="str">
        <f t="shared" ref="E289:E295" si="156">IF(D289=1, "DEPENSES DE PERSONNEL",  +IF(D289=2,"DEPENSES DE SERVICES ET CHARGES DIVERSES", +IF(D289=3,"ACHATS DE BIENS DE CONSOMMATION ET PETITS MATERIELS",+IF(D289=4,"IMMOBILISATION CORPORELLE",+IF(D289=5,"IMMOBILISATION INCORPORELLE",+IF(D289=7,"SUBVENTIONS,QUOTES-PARTS ET CONTRIB.,ALLOC, INDEMNISATIONS",+IF(D289=8,"AMORTISSEMENT DE LA DETTE",+IF(D289=9,"AUTRES DEPENSES PUBLIQUES",0))))))))</f>
        <v>DEPENSES DE PERSONNEL</v>
      </c>
      <c r="F289" s="60" t="e">
        <f>SUMIFS([49]mensuel_section_article1!$E$3:$E$962,[49]mensuel_section_article1!$B$3:$B$962,C289,[49]mensuel_section_article1!$C$3:$C$962,D289)</f>
        <v>#VALUE!</v>
      </c>
      <c r="G289" s="60" t="e">
        <f>SUMIFS([49]mensuel_section_article1!$G$3:$G$962,[49]mensuel_section_article1!$B$3:$B$962,C289,[49]mensuel_section_article1!$C$3:$C$962,D289)</f>
        <v>#VALUE!</v>
      </c>
      <c r="H289" s="60">
        <v>0</v>
      </c>
      <c r="I289" s="60">
        <v>0</v>
      </c>
      <c r="J289" s="60">
        <v>0</v>
      </c>
      <c r="K289" s="60">
        <f t="shared" ref="K289:K295" si="157">+H289-J289</f>
        <v>0</v>
      </c>
      <c r="L289" s="61" t="e">
        <f t="shared" si="154"/>
        <v>#VALUE!</v>
      </c>
      <c r="M289" s="60" t="e">
        <f>+SUMIFS([51]section_article!$H$10:$H$936,[51]section_article!$C$10:$C$936,C289,[51]section_article!$D$10:$D$936,D289)</f>
        <v>#VALUE!</v>
      </c>
      <c r="N289" s="24" t="e">
        <f t="shared" ref="N289:N295" si="158">+J289-M289</f>
        <v>#VALUE!</v>
      </c>
      <c r="O289" s="9"/>
      <c r="Q289" s="63"/>
      <c r="AK289" s="64"/>
      <c r="AL289" s="64"/>
      <c r="AM289" s="64"/>
      <c r="AN289" s="64"/>
      <c r="AO289" s="11">
        <v>1116112</v>
      </c>
      <c r="AP289" s="65" t="str">
        <f t="shared" ref="AP289:AP295" si="159">CONCATENATE(AO289,D289)</f>
        <v>11161121</v>
      </c>
    </row>
    <row r="290" spans="1:42" s="62" customFormat="1" ht="27.75" hidden="1" customHeight="1" thickTop="1" thickBot="1" x14ac:dyDescent="0.3">
      <c r="A290" s="56" t="s">
        <v>22</v>
      </c>
      <c r="B290" s="56" t="s">
        <v>22</v>
      </c>
      <c r="C290" s="57">
        <f t="shared" si="155"/>
        <v>1116113</v>
      </c>
      <c r="D290" s="58">
        <v>2</v>
      </c>
      <c r="E290" s="59" t="str">
        <f t="shared" si="156"/>
        <v>DEPENSES DE SERVICES ET CHARGES DIVERSES</v>
      </c>
      <c r="F290" s="60" t="e">
        <f>SUMIFS([49]mensuel_section_article1!$E$3:$E$962,[49]mensuel_section_article1!$B$3:$B$962,C290,[49]mensuel_section_article1!$C$3:$C$962,D290)</f>
        <v>#VALUE!</v>
      </c>
      <c r="G290" s="60" t="e">
        <f>SUMIFS([49]mensuel_section_article1!$G$3:$G$962,[49]mensuel_section_article1!$B$3:$B$962,C290,[49]mensuel_section_article1!$C$3:$C$962,D290)</f>
        <v>#VALUE!</v>
      </c>
      <c r="H290" s="60">
        <v>0</v>
      </c>
      <c r="I290" s="60">
        <v>0</v>
      </c>
      <c r="J290" s="60">
        <v>0</v>
      </c>
      <c r="K290" s="60">
        <f t="shared" si="157"/>
        <v>0</v>
      </c>
      <c r="L290" s="61" t="e">
        <f t="shared" si="154"/>
        <v>#VALUE!</v>
      </c>
      <c r="M290" s="60" t="e">
        <f>+SUMIFS([51]section_article!$H$10:$H$936,[51]section_article!$C$10:$C$936,C290,[51]section_article!$D$10:$D$936,D290)</f>
        <v>#VALUE!</v>
      </c>
      <c r="N290" s="24" t="e">
        <f t="shared" si="158"/>
        <v>#VALUE!</v>
      </c>
      <c r="O290" s="9"/>
      <c r="Q290" s="63"/>
      <c r="AK290" s="64"/>
      <c r="AL290" s="64"/>
      <c r="AM290" s="64"/>
      <c r="AN290" s="64"/>
      <c r="AO290" s="11">
        <v>1116112</v>
      </c>
      <c r="AP290" s="65" t="str">
        <f t="shared" si="159"/>
        <v>11161122</v>
      </c>
    </row>
    <row r="291" spans="1:42" s="62" customFormat="1" ht="27.75" hidden="1" customHeight="1" thickTop="1" thickBot="1" x14ac:dyDescent="0.3">
      <c r="A291" s="56" t="s">
        <v>22</v>
      </c>
      <c r="B291" s="56" t="s">
        <v>22</v>
      </c>
      <c r="C291" s="57">
        <f t="shared" si="155"/>
        <v>1116113</v>
      </c>
      <c r="D291" s="58">
        <v>3</v>
      </c>
      <c r="E291" s="59" t="str">
        <f t="shared" si="156"/>
        <v>ACHATS DE BIENS DE CONSOMMATION ET PETITS MATERIELS</v>
      </c>
      <c r="F291" s="60" t="e">
        <f>SUMIFS([49]mensuel_section_article1!$E$3:$E$962,[49]mensuel_section_article1!$B$3:$B$962,C291,[49]mensuel_section_article1!$C$3:$C$962,D291)</f>
        <v>#VALUE!</v>
      </c>
      <c r="G291" s="60" t="e">
        <f>SUMIFS([49]mensuel_section_article1!$G$3:$G$962,[49]mensuel_section_article1!$B$3:$B$962,C291,[49]mensuel_section_article1!$C$3:$C$962,D291)</f>
        <v>#VALUE!</v>
      </c>
      <c r="H291" s="60">
        <v>0</v>
      </c>
      <c r="I291" s="60">
        <v>0</v>
      </c>
      <c r="J291" s="60">
        <v>0</v>
      </c>
      <c r="K291" s="60">
        <f t="shared" si="157"/>
        <v>0</v>
      </c>
      <c r="L291" s="61" t="e">
        <f t="shared" si="154"/>
        <v>#VALUE!</v>
      </c>
      <c r="M291" s="60" t="e">
        <f>+SUMIFS([51]section_article!$H$10:$H$936,[51]section_article!$C$10:$C$936,C291,[51]section_article!$D$10:$D$936,D291)</f>
        <v>#VALUE!</v>
      </c>
      <c r="N291" s="24" t="e">
        <f t="shared" si="158"/>
        <v>#VALUE!</v>
      </c>
      <c r="O291" s="9"/>
      <c r="Q291" s="63"/>
      <c r="AK291" s="64"/>
      <c r="AL291" s="64"/>
      <c r="AM291" s="64"/>
      <c r="AN291" s="64"/>
      <c r="AO291" s="11">
        <v>1116112</v>
      </c>
      <c r="AP291" s="65" t="str">
        <f t="shared" si="159"/>
        <v>11161123</v>
      </c>
    </row>
    <row r="292" spans="1:42" s="62" customFormat="1" ht="27.75" hidden="1" customHeight="1" thickTop="1" thickBot="1" x14ac:dyDescent="0.3">
      <c r="A292" s="56" t="s">
        <v>22</v>
      </c>
      <c r="B292" s="56" t="s">
        <v>22</v>
      </c>
      <c r="C292" s="57">
        <f t="shared" si="155"/>
        <v>1116113</v>
      </c>
      <c r="D292" s="58">
        <v>4</v>
      </c>
      <c r="E292" s="59" t="str">
        <f t="shared" si="156"/>
        <v>IMMOBILISATION CORPORELLE</v>
      </c>
      <c r="F292" s="60" t="e">
        <f>SUMIFS([49]mensuel_section_article1!$E$3:$E$962,[49]mensuel_section_article1!$B$3:$B$962,C292,[49]mensuel_section_article1!$C$3:$C$962,D292)</f>
        <v>#VALUE!</v>
      </c>
      <c r="G292" s="60" t="e">
        <f>SUMIFS([49]mensuel_section_article1!$G$3:$G$962,[49]mensuel_section_article1!$B$3:$B$962,C292,[49]mensuel_section_article1!$C$3:$C$962,D292)</f>
        <v>#VALUE!</v>
      </c>
      <c r="H292" s="60">
        <v>0</v>
      </c>
      <c r="I292" s="60">
        <v>0</v>
      </c>
      <c r="J292" s="60">
        <v>0</v>
      </c>
      <c r="K292" s="60">
        <f t="shared" si="157"/>
        <v>0</v>
      </c>
      <c r="L292" s="61" t="e">
        <f t="shared" si="154"/>
        <v>#VALUE!</v>
      </c>
      <c r="M292" s="60" t="e">
        <f>+SUMIFS([51]section_article!$H$10:$H$936,[51]section_article!$C$10:$C$936,C292,[51]section_article!$D$10:$D$936,D292)</f>
        <v>#VALUE!</v>
      </c>
      <c r="N292" s="24" t="e">
        <f t="shared" si="158"/>
        <v>#VALUE!</v>
      </c>
      <c r="O292" s="9"/>
      <c r="Q292" s="63"/>
      <c r="AK292" s="64"/>
      <c r="AL292" s="64"/>
      <c r="AM292" s="64"/>
      <c r="AN292" s="64"/>
      <c r="AO292" s="11">
        <v>1116112</v>
      </c>
      <c r="AP292" s="65" t="str">
        <f t="shared" si="159"/>
        <v>11161124</v>
      </c>
    </row>
    <row r="293" spans="1:42" s="62" customFormat="1" ht="27.75" hidden="1" customHeight="1" thickTop="1" thickBot="1" x14ac:dyDescent="0.3">
      <c r="A293" s="56" t="s">
        <v>22</v>
      </c>
      <c r="B293" s="56" t="s">
        <v>22</v>
      </c>
      <c r="C293" s="57">
        <f t="shared" si="155"/>
        <v>1116113</v>
      </c>
      <c r="D293" s="58">
        <v>5</v>
      </c>
      <c r="E293" s="59" t="str">
        <f t="shared" si="156"/>
        <v>IMMOBILISATION INCORPORELLE</v>
      </c>
      <c r="F293" s="60" t="e">
        <f>SUMIFS([49]mensuel_section_article1!$E$3:$E$962,[49]mensuel_section_article1!$B$3:$B$962,C293,[49]mensuel_section_article1!$C$3:$C$962,D293)</f>
        <v>#VALUE!</v>
      </c>
      <c r="G293" s="60" t="e">
        <f>SUMIFS([49]mensuel_section_article1!$G$3:$G$962,[49]mensuel_section_article1!$B$3:$B$962,C293,[49]mensuel_section_article1!$C$3:$C$962,D293)</f>
        <v>#VALUE!</v>
      </c>
      <c r="H293" s="60">
        <v>0</v>
      </c>
      <c r="I293" s="60">
        <v>0</v>
      </c>
      <c r="J293" s="60">
        <v>0</v>
      </c>
      <c r="K293" s="60">
        <f t="shared" si="157"/>
        <v>0</v>
      </c>
      <c r="L293" s="61" t="e">
        <f t="shared" si="154"/>
        <v>#VALUE!</v>
      </c>
      <c r="M293" s="60" t="e">
        <f>+SUMIFS([51]section_article!$H$10:$H$936,[51]section_article!$C$10:$C$936,C293,[51]section_article!$D$10:$D$936,D293)</f>
        <v>#VALUE!</v>
      </c>
      <c r="N293" s="24" t="e">
        <f t="shared" si="158"/>
        <v>#VALUE!</v>
      </c>
      <c r="O293" s="9"/>
      <c r="Q293" s="63"/>
      <c r="AK293" s="64"/>
      <c r="AL293" s="64"/>
      <c r="AM293" s="64"/>
      <c r="AN293" s="64"/>
      <c r="AO293" s="11">
        <v>1116112</v>
      </c>
      <c r="AP293" s="65" t="str">
        <f t="shared" si="159"/>
        <v>11161125</v>
      </c>
    </row>
    <row r="294" spans="1:42" s="62" customFormat="1" ht="27.75" hidden="1" customHeight="1" thickTop="1" thickBot="1" x14ac:dyDescent="0.3">
      <c r="A294" s="56" t="s">
        <v>22</v>
      </c>
      <c r="B294" s="56" t="s">
        <v>22</v>
      </c>
      <c r="C294" s="57">
        <f t="shared" si="155"/>
        <v>1116113</v>
      </c>
      <c r="D294" s="58">
        <v>7</v>
      </c>
      <c r="E294" s="59" t="str">
        <f t="shared" si="156"/>
        <v>SUBVENTIONS,QUOTES-PARTS ET CONTRIB.,ALLOC, INDEMNISATIONS</v>
      </c>
      <c r="F294" s="60" t="e">
        <f>SUMIFS([49]mensuel_section_article1!$E$3:$E$962,[49]mensuel_section_article1!$B$3:$B$962,C294,[49]mensuel_section_article1!$C$3:$C$962,D294)</f>
        <v>#VALUE!</v>
      </c>
      <c r="G294" s="60" t="e">
        <f>SUMIFS([49]mensuel_section_article1!$G$3:$G$962,[49]mensuel_section_article1!$B$3:$B$962,C294,[49]mensuel_section_article1!$C$3:$C$962,D294)</f>
        <v>#VALUE!</v>
      </c>
      <c r="H294" s="60">
        <v>0</v>
      </c>
      <c r="I294" s="60">
        <v>0</v>
      </c>
      <c r="J294" s="60">
        <v>0</v>
      </c>
      <c r="K294" s="60">
        <f t="shared" si="157"/>
        <v>0</v>
      </c>
      <c r="L294" s="61" t="e">
        <f t="shared" si="154"/>
        <v>#VALUE!</v>
      </c>
      <c r="M294" s="60" t="e">
        <f>+SUMIFS([51]section_article!$H$10:$H$936,[51]section_article!$C$10:$C$936,C294,[51]section_article!$D$10:$D$936,D294)</f>
        <v>#VALUE!</v>
      </c>
      <c r="N294" s="24" t="e">
        <f t="shared" si="158"/>
        <v>#VALUE!</v>
      </c>
      <c r="O294" s="9"/>
      <c r="Q294" s="66"/>
      <c r="AK294" s="64"/>
      <c r="AL294" s="64"/>
      <c r="AM294" s="64"/>
      <c r="AN294" s="64"/>
      <c r="AO294" s="11">
        <v>1116112</v>
      </c>
      <c r="AP294" s="65" t="str">
        <f t="shared" si="159"/>
        <v>11161127</v>
      </c>
    </row>
    <row r="295" spans="1:42" s="62" customFormat="1" ht="27.75" hidden="1" customHeight="1" thickTop="1" thickBot="1" x14ac:dyDescent="0.3">
      <c r="A295" s="56" t="s">
        <v>22</v>
      </c>
      <c r="B295" s="56" t="s">
        <v>22</v>
      </c>
      <c r="C295" s="57">
        <f t="shared" si="155"/>
        <v>1116113</v>
      </c>
      <c r="D295" s="58">
        <v>9</v>
      </c>
      <c r="E295" s="59" t="str">
        <f t="shared" si="156"/>
        <v>AUTRES DEPENSES PUBLIQUES</v>
      </c>
      <c r="F295" s="60" t="e">
        <f>SUMIFS([49]mensuel_section_article1!$E$3:$E$962,[49]mensuel_section_article1!$B$3:$B$962,C295,[49]mensuel_section_article1!$C$3:$C$962,D295)</f>
        <v>#VALUE!</v>
      </c>
      <c r="G295" s="60" t="e">
        <f>SUMIFS([49]mensuel_section_article1!$G$3:$G$962,[49]mensuel_section_article1!$B$3:$B$962,C295,[49]mensuel_section_article1!$C$3:$C$962,D295)</f>
        <v>#VALUE!</v>
      </c>
      <c r="H295" s="60">
        <v>0</v>
      </c>
      <c r="I295" s="60">
        <v>0</v>
      </c>
      <c r="J295" s="60">
        <v>0</v>
      </c>
      <c r="K295" s="60">
        <f t="shared" si="157"/>
        <v>0</v>
      </c>
      <c r="L295" s="61" t="e">
        <f t="shared" si="154"/>
        <v>#VALUE!</v>
      </c>
      <c r="M295" s="60" t="e">
        <f>+SUMIFS([51]section_article!$H$10:$H$936,[51]section_article!$C$10:$C$936,C295,[51]section_article!$D$10:$D$936,D295)</f>
        <v>#VALUE!</v>
      </c>
      <c r="N295" s="24" t="e">
        <f t="shared" si="158"/>
        <v>#VALUE!</v>
      </c>
      <c r="O295" s="9"/>
      <c r="Q295" s="63"/>
      <c r="AK295" s="64"/>
      <c r="AL295" s="64"/>
      <c r="AM295" s="64"/>
      <c r="AN295" s="64"/>
      <c r="AO295" s="11">
        <v>1116112</v>
      </c>
      <c r="AP295" s="65" t="str">
        <f t="shared" si="159"/>
        <v>11161129</v>
      </c>
    </row>
    <row r="296" spans="1:42" s="1" customFormat="1" ht="27.75" hidden="1" customHeight="1" thickTop="1" thickBot="1" x14ac:dyDescent="0.3">
      <c r="A296" s="50" t="s">
        <v>20</v>
      </c>
      <c r="B296" s="50" t="s">
        <v>20</v>
      </c>
      <c r="C296" s="50" t="s">
        <v>20</v>
      </c>
      <c r="D296" s="51">
        <v>1116114</v>
      </c>
      <c r="E296" s="67" t="s">
        <v>59</v>
      </c>
      <c r="F296" s="68" t="e">
        <f>SUMIF($B$297:$B$303,"article",F297:F303)</f>
        <v>#VALUE!</v>
      </c>
      <c r="G296" s="68" t="e">
        <f>SUMIF($B$297:$B$303,"article",G297:G303)</f>
        <v>#VALUE!</v>
      </c>
      <c r="H296" s="68">
        <f>SUMIF($B$297:$B$303,"article",H297:H303)</f>
        <v>0</v>
      </c>
      <c r="I296" s="68">
        <v>0</v>
      </c>
      <c r="J296" s="68">
        <f>SUMIF($B$297:$B$303,"article",J297:J303)</f>
        <v>0</v>
      </c>
      <c r="K296" s="68">
        <f>SUMIF($B$297:$B$303,"article",K297:K303)</f>
        <v>0</v>
      </c>
      <c r="L296" s="69" t="e">
        <f t="shared" si="154"/>
        <v>#VALUE!</v>
      </c>
      <c r="M296" s="68" t="e">
        <f>SUMIF($B$297:$B$303,"article",M297:M303)</f>
        <v>#VALUE!</v>
      </c>
      <c r="N296" s="68" t="e">
        <f>SUMIF($B$297:$B$303,"article",N297:N303)</f>
        <v>#VALUE!</v>
      </c>
      <c r="O296" s="9"/>
      <c r="Q296" s="23"/>
      <c r="AK296" s="70"/>
      <c r="AL296" s="70"/>
      <c r="AM296" s="70"/>
      <c r="AN296" s="70"/>
      <c r="AO296" s="11">
        <v>1116112</v>
      </c>
    </row>
    <row r="297" spans="1:42" s="62" customFormat="1" ht="27.75" hidden="1" customHeight="1" thickTop="1" thickBot="1" x14ac:dyDescent="0.3">
      <c r="A297" s="56" t="s">
        <v>22</v>
      </c>
      <c r="B297" s="56" t="s">
        <v>22</v>
      </c>
      <c r="C297" s="57">
        <f t="shared" ref="C297:C303" si="160">IF(A296="SECTION",D296,C296)</f>
        <v>1116114</v>
      </c>
      <c r="D297" s="58">
        <v>1</v>
      </c>
      <c r="E297" s="59" t="str">
        <f t="shared" ref="E297:E303" si="161">IF(D297=1, "DEPENSES DE PERSONNEL",  +IF(D297=2,"DEPENSES DE SERVICES ET CHARGES DIVERSES", +IF(D297=3,"ACHATS DE BIENS DE CONSOMMATION ET PETITS MATERIELS",+IF(D297=4,"IMMOBILISATION CORPORELLE",+IF(D297=5,"IMMOBILISATION INCORPORELLE",+IF(D297=7,"SUBVENTIONS,QUOTES-PARTS ET CONTRIB.,ALLOC, INDEMNISATIONS",+IF(D297=8,"AMORTISSEMENT DE LA DETTE",+IF(D297=9,"AUTRES DEPENSES PUBLIQUES",0))))))))</f>
        <v>DEPENSES DE PERSONNEL</v>
      </c>
      <c r="F297" s="60" t="e">
        <f>SUMIFS([49]mensuel_section_article1!$E$3:$E$962,[49]mensuel_section_article1!$B$3:$B$962,C297,[49]mensuel_section_article1!$C$3:$C$962,D297)</f>
        <v>#VALUE!</v>
      </c>
      <c r="G297" s="60" t="e">
        <f>SUMIFS([49]mensuel_section_article1!$G$3:$G$962,[49]mensuel_section_article1!$B$3:$B$962,C297,[49]mensuel_section_article1!$C$3:$C$962,D297)</f>
        <v>#VALUE!</v>
      </c>
      <c r="H297" s="60">
        <v>0</v>
      </c>
      <c r="I297" s="60">
        <v>0</v>
      </c>
      <c r="J297" s="60">
        <v>0</v>
      </c>
      <c r="K297" s="60">
        <f t="shared" ref="K297:K303" si="162">+H297-J297</f>
        <v>0</v>
      </c>
      <c r="L297" s="61" t="e">
        <f t="shared" si="154"/>
        <v>#VALUE!</v>
      </c>
      <c r="M297" s="60" t="e">
        <f>+SUMIFS([51]section_article!$H$10:$H$936,[51]section_article!$C$10:$C$936,C297,[51]section_article!$D$10:$D$936,D297)</f>
        <v>#VALUE!</v>
      </c>
      <c r="N297" s="24" t="e">
        <f t="shared" ref="N297:N303" si="163">+J297-M297</f>
        <v>#VALUE!</v>
      </c>
      <c r="O297" s="9"/>
      <c r="Q297" s="63"/>
      <c r="AK297" s="64"/>
      <c r="AL297" s="64"/>
      <c r="AM297" s="64"/>
      <c r="AN297" s="64"/>
      <c r="AO297" s="11">
        <v>1116112</v>
      </c>
      <c r="AP297" s="65" t="str">
        <f t="shared" ref="AP297:AP303" si="164">CONCATENATE(AO297,D297)</f>
        <v>11161121</v>
      </c>
    </row>
    <row r="298" spans="1:42" s="62" customFormat="1" ht="27.75" hidden="1" customHeight="1" thickTop="1" thickBot="1" x14ac:dyDescent="0.3">
      <c r="A298" s="56" t="s">
        <v>22</v>
      </c>
      <c r="B298" s="56" t="s">
        <v>22</v>
      </c>
      <c r="C298" s="57">
        <f t="shared" si="160"/>
        <v>1116114</v>
      </c>
      <c r="D298" s="58">
        <v>2</v>
      </c>
      <c r="E298" s="59" t="str">
        <f t="shared" si="161"/>
        <v>DEPENSES DE SERVICES ET CHARGES DIVERSES</v>
      </c>
      <c r="F298" s="60" t="e">
        <f>SUMIFS([49]mensuel_section_article1!$E$3:$E$962,[49]mensuel_section_article1!$B$3:$B$962,C298,[49]mensuel_section_article1!$C$3:$C$962,D298)</f>
        <v>#VALUE!</v>
      </c>
      <c r="G298" s="60" t="e">
        <f>SUMIFS([49]mensuel_section_article1!$G$3:$G$962,[49]mensuel_section_article1!$B$3:$B$962,C298,[49]mensuel_section_article1!$C$3:$C$962,D298)</f>
        <v>#VALUE!</v>
      </c>
      <c r="H298" s="60">
        <v>0</v>
      </c>
      <c r="I298" s="60">
        <v>0</v>
      </c>
      <c r="J298" s="60">
        <v>0</v>
      </c>
      <c r="K298" s="60">
        <f t="shared" si="162"/>
        <v>0</v>
      </c>
      <c r="L298" s="61" t="e">
        <f t="shared" si="154"/>
        <v>#VALUE!</v>
      </c>
      <c r="M298" s="60" t="e">
        <f>+SUMIFS([51]section_article!$H$10:$H$936,[51]section_article!$C$10:$C$936,C298,[51]section_article!$D$10:$D$936,D298)</f>
        <v>#VALUE!</v>
      </c>
      <c r="N298" s="24" t="e">
        <f t="shared" si="163"/>
        <v>#VALUE!</v>
      </c>
      <c r="O298" s="9"/>
      <c r="Q298" s="63"/>
      <c r="AK298" s="64"/>
      <c r="AL298" s="64"/>
      <c r="AM298" s="64"/>
      <c r="AN298" s="64"/>
      <c r="AO298" s="11">
        <v>1116112</v>
      </c>
      <c r="AP298" s="65" t="str">
        <f t="shared" si="164"/>
        <v>11161122</v>
      </c>
    </row>
    <row r="299" spans="1:42" s="62" customFormat="1" ht="27.75" hidden="1" customHeight="1" thickTop="1" thickBot="1" x14ac:dyDescent="0.3">
      <c r="A299" s="56" t="s">
        <v>22</v>
      </c>
      <c r="B299" s="56" t="s">
        <v>22</v>
      </c>
      <c r="C299" s="57">
        <f t="shared" si="160"/>
        <v>1116114</v>
      </c>
      <c r="D299" s="58">
        <v>3</v>
      </c>
      <c r="E299" s="59" t="str">
        <f t="shared" si="161"/>
        <v>ACHATS DE BIENS DE CONSOMMATION ET PETITS MATERIELS</v>
      </c>
      <c r="F299" s="60" t="e">
        <f>SUMIFS([49]mensuel_section_article1!$E$3:$E$962,[49]mensuel_section_article1!$B$3:$B$962,C299,[49]mensuel_section_article1!$C$3:$C$962,D299)</f>
        <v>#VALUE!</v>
      </c>
      <c r="G299" s="60" t="e">
        <f>SUMIFS([49]mensuel_section_article1!$G$3:$G$962,[49]mensuel_section_article1!$B$3:$B$962,C299,[49]mensuel_section_article1!$C$3:$C$962,D299)</f>
        <v>#VALUE!</v>
      </c>
      <c r="H299" s="60">
        <v>0</v>
      </c>
      <c r="I299" s="60">
        <v>0</v>
      </c>
      <c r="J299" s="60">
        <v>0</v>
      </c>
      <c r="K299" s="60">
        <f t="shared" si="162"/>
        <v>0</v>
      </c>
      <c r="L299" s="61" t="e">
        <f t="shared" si="154"/>
        <v>#VALUE!</v>
      </c>
      <c r="M299" s="60" t="e">
        <f>+SUMIFS([51]section_article!$H$10:$H$936,[51]section_article!$C$10:$C$936,C299,[51]section_article!$D$10:$D$936,D299)</f>
        <v>#VALUE!</v>
      </c>
      <c r="N299" s="24" t="e">
        <f t="shared" si="163"/>
        <v>#VALUE!</v>
      </c>
      <c r="O299" s="9"/>
      <c r="Q299" s="63"/>
      <c r="AK299" s="64"/>
      <c r="AL299" s="64"/>
      <c r="AM299" s="64"/>
      <c r="AN299" s="64"/>
      <c r="AO299" s="11">
        <v>1116112</v>
      </c>
      <c r="AP299" s="65" t="str">
        <f t="shared" si="164"/>
        <v>11161123</v>
      </c>
    </row>
    <row r="300" spans="1:42" s="62" customFormat="1" ht="27.75" hidden="1" customHeight="1" thickTop="1" thickBot="1" x14ac:dyDescent="0.3">
      <c r="A300" s="56" t="s">
        <v>22</v>
      </c>
      <c r="B300" s="56" t="s">
        <v>22</v>
      </c>
      <c r="C300" s="57">
        <f t="shared" si="160"/>
        <v>1116114</v>
      </c>
      <c r="D300" s="58">
        <v>4</v>
      </c>
      <c r="E300" s="59" t="str">
        <f t="shared" si="161"/>
        <v>IMMOBILISATION CORPORELLE</v>
      </c>
      <c r="F300" s="60" t="e">
        <f>SUMIFS([49]mensuel_section_article1!$E$3:$E$962,[49]mensuel_section_article1!$B$3:$B$962,C300,[49]mensuel_section_article1!$C$3:$C$962,D300)</f>
        <v>#VALUE!</v>
      </c>
      <c r="G300" s="60" t="e">
        <f>SUMIFS([49]mensuel_section_article1!$G$3:$G$962,[49]mensuel_section_article1!$B$3:$B$962,C300,[49]mensuel_section_article1!$C$3:$C$962,D300)</f>
        <v>#VALUE!</v>
      </c>
      <c r="H300" s="60">
        <v>0</v>
      </c>
      <c r="I300" s="60">
        <v>0</v>
      </c>
      <c r="J300" s="60">
        <v>0</v>
      </c>
      <c r="K300" s="60">
        <f t="shared" si="162"/>
        <v>0</v>
      </c>
      <c r="L300" s="61" t="e">
        <f t="shared" si="154"/>
        <v>#VALUE!</v>
      </c>
      <c r="M300" s="60" t="e">
        <f>+SUMIFS([51]section_article!$H$10:$H$936,[51]section_article!$C$10:$C$936,C300,[51]section_article!$D$10:$D$936,D300)</f>
        <v>#VALUE!</v>
      </c>
      <c r="N300" s="24" t="e">
        <f t="shared" si="163"/>
        <v>#VALUE!</v>
      </c>
      <c r="O300" s="9"/>
      <c r="Q300" s="63"/>
      <c r="AK300" s="64"/>
      <c r="AL300" s="64"/>
      <c r="AM300" s="64"/>
      <c r="AN300" s="64"/>
      <c r="AO300" s="11">
        <v>1116112</v>
      </c>
      <c r="AP300" s="65" t="str">
        <f t="shared" si="164"/>
        <v>11161124</v>
      </c>
    </row>
    <row r="301" spans="1:42" s="62" customFormat="1" ht="27.75" hidden="1" customHeight="1" thickTop="1" thickBot="1" x14ac:dyDescent="0.3">
      <c r="A301" s="56" t="s">
        <v>22</v>
      </c>
      <c r="B301" s="56" t="s">
        <v>22</v>
      </c>
      <c r="C301" s="57">
        <f t="shared" si="160"/>
        <v>1116114</v>
      </c>
      <c r="D301" s="58">
        <v>5</v>
      </c>
      <c r="E301" s="59" t="str">
        <f t="shared" si="161"/>
        <v>IMMOBILISATION INCORPORELLE</v>
      </c>
      <c r="F301" s="60" t="e">
        <f>SUMIFS([49]mensuel_section_article1!$E$3:$E$962,[49]mensuel_section_article1!$B$3:$B$962,C301,[49]mensuel_section_article1!$C$3:$C$962,D301)</f>
        <v>#VALUE!</v>
      </c>
      <c r="G301" s="60" t="e">
        <f>SUMIFS([49]mensuel_section_article1!$G$3:$G$962,[49]mensuel_section_article1!$B$3:$B$962,C301,[49]mensuel_section_article1!$C$3:$C$962,D301)</f>
        <v>#VALUE!</v>
      </c>
      <c r="H301" s="60">
        <v>0</v>
      </c>
      <c r="I301" s="60">
        <v>0</v>
      </c>
      <c r="J301" s="60">
        <v>0</v>
      </c>
      <c r="K301" s="60">
        <f t="shared" si="162"/>
        <v>0</v>
      </c>
      <c r="L301" s="61" t="e">
        <f t="shared" si="154"/>
        <v>#VALUE!</v>
      </c>
      <c r="M301" s="60" t="e">
        <f>+SUMIFS([51]section_article!$H$10:$H$936,[51]section_article!$C$10:$C$936,C301,[51]section_article!$D$10:$D$936,D301)</f>
        <v>#VALUE!</v>
      </c>
      <c r="N301" s="24" t="e">
        <f t="shared" si="163"/>
        <v>#VALUE!</v>
      </c>
      <c r="O301" s="9"/>
      <c r="Q301" s="63"/>
      <c r="AK301" s="64"/>
      <c r="AL301" s="64"/>
      <c r="AM301" s="64"/>
      <c r="AN301" s="64"/>
      <c r="AO301" s="11">
        <v>1116112</v>
      </c>
      <c r="AP301" s="65" t="str">
        <f t="shared" si="164"/>
        <v>11161125</v>
      </c>
    </row>
    <row r="302" spans="1:42" s="62" customFormat="1" ht="27.75" hidden="1" customHeight="1" thickTop="1" thickBot="1" x14ac:dyDescent="0.3">
      <c r="A302" s="56" t="s">
        <v>22</v>
      </c>
      <c r="B302" s="56" t="s">
        <v>22</v>
      </c>
      <c r="C302" s="57">
        <f t="shared" si="160"/>
        <v>1116114</v>
      </c>
      <c r="D302" s="58">
        <v>7</v>
      </c>
      <c r="E302" s="59" t="str">
        <f t="shared" si="161"/>
        <v>SUBVENTIONS,QUOTES-PARTS ET CONTRIB.,ALLOC, INDEMNISATIONS</v>
      </c>
      <c r="F302" s="60" t="e">
        <f>SUMIFS([49]mensuel_section_article1!$E$3:$E$962,[49]mensuel_section_article1!$B$3:$B$962,C302,[49]mensuel_section_article1!$C$3:$C$962,D302)</f>
        <v>#VALUE!</v>
      </c>
      <c r="G302" s="60" t="e">
        <f>SUMIFS([49]mensuel_section_article1!$G$3:$G$962,[49]mensuel_section_article1!$B$3:$B$962,C302,[49]mensuel_section_article1!$C$3:$C$962,D302)</f>
        <v>#VALUE!</v>
      </c>
      <c r="H302" s="60">
        <v>0</v>
      </c>
      <c r="I302" s="60">
        <v>0</v>
      </c>
      <c r="J302" s="60">
        <v>0</v>
      </c>
      <c r="K302" s="60">
        <f t="shared" si="162"/>
        <v>0</v>
      </c>
      <c r="L302" s="61" t="e">
        <f t="shared" si="154"/>
        <v>#VALUE!</v>
      </c>
      <c r="M302" s="60" t="e">
        <f>+SUMIFS([51]section_article!$H$10:$H$936,[51]section_article!$C$10:$C$936,C302,[51]section_article!$D$10:$D$936,D302)</f>
        <v>#VALUE!</v>
      </c>
      <c r="N302" s="24" t="e">
        <f t="shared" si="163"/>
        <v>#VALUE!</v>
      </c>
      <c r="O302" s="9"/>
      <c r="Q302" s="66"/>
      <c r="AK302" s="64"/>
      <c r="AL302" s="64"/>
      <c r="AM302" s="64"/>
      <c r="AN302" s="64"/>
      <c r="AO302" s="11">
        <v>1116112</v>
      </c>
      <c r="AP302" s="65" t="str">
        <f t="shared" si="164"/>
        <v>11161127</v>
      </c>
    </row>
    <row r="303" spans="1:42" s="62" customFormat="1" ht="27.75" hidden="1" customHeight="1" thickTop="1" thickBot="1" x14ac:dyDescent="0.3">
      <c r="A303" s="56" t="s">
        <v>22</v>
      </c>
      <c r="B303" s="56" t="s">
        <v>22</v>
      </c>
      <c r="C303" s="57">
        <f t="shared" si="160"/>
        <v>1116114</v>
      </c>
      <c r="D303" s="58">
        <v>9</v>
      </c>
      <c r="E303" s="59" t="str">
        <f t="shared" si="161"/>
        <v>AUTRES DEPENSES PUBLIQUES</v>
      </c>
      <c r="F303" s="60" t="e">
        <f>SUMIFS([49]mensuel_section_article1!$E$3:$E$962,[49]mensuel_section_article1!$B$3:$B$962,C303,[49]mensuel_section_article1!$C$3:$C$962,D303)</f>
        <v>#VALUE!</v>
      </c>
      <c r="G303" s="60" t="e">
        <f>SUMIFS([49]mensuel_section_article1!$G$3:$G$962,[49]mensuel_section_article1!$B$3:$B$962,C303,[49]mensuel_section_article1!$C$3:$C$962,D303)</f>
        <v>#VALUE!</v>
      </c>
      <c r="H303" s="60">
        <v>0</v>
      </c>
      <c r="I303" s="60">
        <v>0</v>
      </c>
      <c r="J303" s="60">
        <v>0</v>
      </c>
      <c r="K303" s="60">
        <f t="shared" si="162"/>
        <v>0</v>
      </c>
      <c r="L303" s="61" t="e">
        <f t="shared" si="154"/>
        <v>#VALUE!</v>
      </c>
      <c r="M303" s="60" t="e">
        <f>+SUMIFS([51]section_article!$H$10:$H$936,[51]section_article!$C$10:$C$936,C303,[51]section_article!$D$10:$D$936,D303)</f>
        <v>#VALUE!</v>
      </c>
      <c r="N303" s="24" t="e">
        <f t="shared" si="163"/>
        <v>#VALUE!</v>
      </c>
      <c r="O303" s="9"/>
      <c r="Q303" s="63"/>
      <c r="AK303" s="64"/>
      <c r="AL303" s="64"/>
      <c r="AM303" s="64"/>
      <c r="AN303" s="64"/>
      <c r="AO303" s="11">
        <v>1116112</v>
      </c>
      <c r="AP303" s="65" t="str">
        <f t="shared" si="164"/>
        <v>11161129</v>
      </c>
    </row>
    <row r="304" spans="1:42" s="1" customFormat="1" ht="27.75" customHeight="1" thickTop="1" x14ac:dyDescent="0.25">
      <c r="A304" s="37" t="s">
        <v>16</v>
      </c>
      <c r="B304" s="37" t="s">
        <v>16</v>
      </c>
      <c r="C304" s="37" t="s">
        <v>16</v>
      </c>
      <c r="D304" s="73">
        <v>1117</v>
      </c>
      <c r="E304" s="74" t="s">
        <v>60</v>
      </c>
      <c r="F304" s="75" t="e">
        <f>SUMIF($B$305:$B$325,"chap",F305:F325)</f>
        <v>#VALUE!</v>
      </c>
      <c r="G304" s="75" t="e">
        <f>SUMIF($B$305:$B$325,"chap",G305:G325)</f>
        <v>#VALUE!</v>
      </c>
      <c r="H304" s="75">
        <f>SUMIF($B$305:$B$325,"chap",H305:H325)</f>
        <v>218836790.89038903</v>
      </c>
      <c r="I304" s="75">
        <v>218836791.30000001</v>
      </c>
      <c r="J304" s="75">
        <f>SUMIF($B$305:$B$325,"chap",J305:J325)</f>
        <v>210404400.45000005</v>
      </c>
      <c r="K304" s="75">
        <f>SUMIF($B$305:$B$325,"chap",K305:K325)</f>
        <v>8432390.4403890129</v>
      </c>
      <c r="L304" s="76">
        <f>+J304/H304</f>
        <v>0.96146721761875686</v>
      </c>
      <c r="M304" s="75"/>
      <c r="N304" s="75"/>
      <c r="O304" s="9"/>
      <c r="Q304" s="23"/>
      <c r="AK304" s="77"/>
      <c r="AL304" s="77"/>
      <c r="AM304" s="77"/>
      <c r="AN304" s="77"/>
      <c r="AO304" s="11"/>
    </row>
    <row r="305" spans="1:42" s="49" customFormat="1" ht="27.75" customHeight="1" x14ac:dyDescent="0.25">
      <c r="A305" s="43" t="s">
        <v>19</v>
      </c>
      <c r="B305" s="43" t="s">
        <v>19</v>
      </c>
      <c r="C305" s="43" t="s">
        <v>19</v>
      </c>
      <c r="D305" s="44">
        <v>11171</v>
      </c>
      <c r="E305" s="45" t="str">
        <f>VLOOKUP(D305,[49]INST!$A$1:$B$626,2,FALSE)</f>
        <v>SERVICES INTERNES</v>
      </c>
      <c r="F305" s="46" t="e">
        <f>SUMIF($B$306:$B$325,"section",F306:F325)</f>
        <v>#VALUE!</v>
      </c>
      <c r="G305" s="46" t="e">
        <f>SUMIF($B$306:$B$325,"section",G306:G325)</f>
        <v>#VALUE!</v>
      </c>
      <c r="H305" s="46">
        <f>SUMIF($B$306:$B$325,"section",H306:H325)</f>
        <v>218836790.89038903</v>
      </c>
      <c r="I305" s="46">
        <v>218836791.30000001</v>
      </c>
      <c r="J305" s="46">
        <f>SUMIF($B$306:$B$325,"section",J306:J325)</f>
        <v>210404400.45000005</v>
      </c>
      <c r="K305" s="46">
        <f>SUMIF($B$306:$B$325,"section",K306:K325)</f>
        <v>8432390.4403890129</v>
      </c>
      <c r="L305" s="47">
        <f>+J305/H305</f>
        <v>0.96146721761875686</v>
      </c>
      <c r="M305" s="46"/>
      <c r="N305" s="46"/>
      <c r="O305" s="48"/>
      <c r="AO305" s="11"/>
    </row>
    <row r="306" spans="1:42" s="1" customFormat="1" ht="27.75" customHeight="1" thickBot="1" x14ac:dyDescent="0.3">
      <c r="A306" s="50" t="s">
        <v>20</v>
      </c>
      <c r="B306" s="50" t="s">
        <v>20</v>
      </c>
      <c r="C306" s="50" t="s">
        <v>20</v>
      </c>
      <c r="D306" s="51">
        <v>1117111</v>
      </c>
      <c r="E306" s="67" t="s">
        <v>21</v>
      </c>
      <c r="F306" s="68" t="e">
        <f>SUMIF($B$307:$B$313,"article",F307:F313)</f>
        <v>#VALUE!</v>
      </c>
      <c r="G306" s="68" t="e">
        <f>SUMIF($B$307:$B$313,"article",G307:G313)</f>
        <v>#VALUE!</v>
      </c>
      <c r="H306" s="68">
        <f>SUMIF($B$307:$B$313,"article",H307:H313)</f>
        <v>36460521.296389006</v>
      </c>
      <c r="I306" s="68">
        <v>35238229.269999996</v>
      </c>
      <c r="J306" s="68">
        <f>SUMIF($B$307:$B$313,"article",J307:J313)</f>
        <v>33994922.170000002</v>
      </c>
      <c r="K306" s="68">
        <f>SUMIF($B$307:$B$313,"article",K307:K313)</f>
        <v>2465599.1263890043</v>
      </c>
      <c r="L306" s="69">
        <f>+J306/H306</f>
        <v>0.93237619653471071</v>
      </c>
      <c r="M306" s="68"/>
      <c r="N306" s="68"/>
      <c r="O306" s="9"/>
      <c r="Q306" s="23"/>
      <c r="AK306" s="70"/>
      <c r="AL306" s="70"/>
      <c r="AM306" s="70"/>
      <c r="AN306" s="70"/>
      <c r="AO306" s="11">
        <v>1117111</v>
      </c>
    </row>
    <row r="307" spans="1:42" s="62" customFormat="1" ht="27.75" customHeight="1" thickTop="1" thickBot="1" x14ac:dyDescent="0.3">
      <c r="A307" s="56" t="s">
        <v>22</v>
      </c>
      <c r="B307" s="56" t="s">
        <v>22</v>
      </c>
      <c r="C307" s="57">
        <f t="shared" ref="C307:C313" si="165">IF(A306="SECTION",D306,C306)</f>
        <v>1117111</v>
      </c>
      <c r="D307" s="58">
        <v>1</v>
      </c>
      <c r="E307" s="59" t="str">
        <f t="shared" ref="E307:E313" si="166">IF(D307=1, "DEPENSES DE PERSONNEL",  +IF(D307=2,"DEPENSES DE SERVICES ET CHARGES DIVERSES", +IF(D307=3,"ACHATS DE BIENS DE CONSOMMATION ET PETITS MATERIELS",+IF(D307=4,"IMMOBILISATION CORPORELLE",+IF(D307=5,"IMMOBILISATION INCORPORELLE",+IF(D307=7,"SUBVENTIONS,QUOTES-PARTS ET CONTRIB.,ALLOC, INDEMNISATIONS",+IF(D307=8,"AMORTISSEMENT DE LA DETTE",+IF(D307=9,"AUTRES DEPENSES PUBLIQUES",0))))))))</f>
        <v>DEPENSES DE PERSONNEL</v>
      </c>
      <c r="F307" s="60" t="e">
        <f>SUMIFS([49]mensuel_section_article1!$E$3:$E$962,[49]mensuel_section_article1!$B$3:$B$962,C307,[49]mensuel_section_article1!$C$3:$C$962,D307)</f>
        <v>#VALUE!</v>
      </c>
      <c r="G307" s="60" t="e">
        <f>SUMIFS([49]mensuel_section_article1!$G$3:$G$962,[49]mensuel_section_article1!$B$3:$B$962,C307,[49]mensuel_section_article1!$C$3:$C$962,D307)</f>
        <v>#VALUE!</v>
      </c>
      <c r="H307" s="60">
        <v>19804329.511389006</v>
      </c>
      <c r="I307" s="60">
        <v>27412380.460000001</v>
      </c>
      <c r="J307" s="60">
        <v>27395129.98</v>
      </c>
      <c r="K307" s="60">
        <f t="shared" ref="K307:K313" si="167">+H307-J307</f>
        <v>-7590800.4686109945</v>
      </c>
      <c r="L307" s="61">
        <f>+J307/H307</f>
        <v>1.38328995002056</v>
      </c>
      <c r="M307" s="60"/>
      <c r="N307" s="24"/>
      <c r="O307" s="9"/>
      <c r="Q307" s="63"/>
      <c r="AK307" s="64"/>
      <c r="AL307" s="64"/>
      <c r="AM307" s="64"/>
      <c r="AN307" s="64"/>
      <c r="AO307" s="11">
        <v>1117111</v>
      </c>
      <c r="AP307" s="65" t="str">
        <f t="shared" ref="AP307:AP313" si="168">CONCATENATE(AO307,D307)</f>
        <v>11171111</v>
      </c>
    </row>
    <row r="308" spans="1:42" s="62" customFormat="1" ht="27.75" customHeight="1" thickTop="1" thickBot="1" x14ac:dyDescent="0.3">
      <c r="A308" s="56" t="s">
        <v>22</v>
      </c>
      <c r="B308" s="56" t="s">
        <v>22</v>
      </c>
      <c r="C308" s="57">
        <f t="shared" si="165"/>
        <v>1117111</v>
      </c>
      <c r="D308" s="58">
        <v>2</v>
      </c>
      <c r="E308" s="59" t="str">
        <f t="shared" si="166"/>
        <v>DEPENSES DE SERVICES ET CHARGES DIVERSES</v>
      </c>
      <c r="F308" s="60" t="e">
        <f>SUMIFS([49]mensuel_section_article1!$E$3:$E$962,[49]mensuel_section_article1!$B$3:$B$962,C308,[49]mensuel_section_article1!$C$3:$C$962,D308)</f>
        <v>#VALUE!</v>
      </c>
      <c r="G308" s="60" t="e">
        <f>SUMIFS([49]mensuel_section_article1!$G$3:$G$962,[49]mensuel_section_article1!$B$3:$B$962,C308,[49]mensuel_section_article1!$C$3:$C$962,D308)</f>
        <v>#VALUE!</v>
      </c>
      <c r="H308" s="60">
        <v>13401212.870999999</v>
      </c>
      <c r="I308" s="60">
        <v>4244409.4999999991</v>
      </c>
      <c r="J308" s="60">
        <v>4048081.81</v>
      </c>
      <c r="K308" s="60">
        <f t="shared" si="167"/>
        <v>9353131.0609999988</v>
      </c>
      <c r="L308" s="61">
        <f>+J308/H308</f>
        <v>0.30206831642529769</v>
      </c>
      <c r="M308" s="60"/>
      <c r="N308" s="24"/>
      <c r="O308" s="9"/>
      <c r="Q308" s="66"/>
      <c r="AK308" s="64"/>
      <c r="AL308" s="64"/>
      <c r="AM308" s="64"/>
      <c r="AN308" s="64"/>
      <c r="AO308" s="11">
        <v>1117111</v>
      </c>
      <c r="AP308" s="65" t="str">
        <f t="shared" si="168"/>
        <v>11171112</v>
      </c>
    </row>
    <row r="309" spans="1:42" s="62" customFormat="1" ht="27.75" hidden="1" customHeight="1" thickTop="1" thickBot="1" x14ac:dyDescent="0.3">
      <c r="A309" s="56" t="s">
        <v>22</v>
      </c>
      <c r="B309" s="56" t="s">
        <v>22</v>
      </c>
      <c r="C309" s="57">
        <f t="shared" si="165"/>
        <v>1117111</v>
      </c>
      <c r="D309" s="58">
        <v>3</v>
      </c>
      <c r="E309" s="59" t="str">
        <f t="shared" si="166"/>
        <v>ACHATS DE BIENS DE CONSOMMATION ET PETITS MATERIELS</v>
      </c>
      <c r="F309" s="60" t="e">
        <f>SUMIFS([49]mensuel_section_article1!$E$3:$E$962,[49]mensuel_section_article1!$B$3:$B$962,C309,[49]mensuel_section_article1!$C$3:$C$962,D309)</f>
        <v>#VALUE!</v>
      </c>
      <c r="G309" s="60" t="e">
        <f>SUMIFS([49]mensuel_section_article1!$G$3:$G$962,[49]mensuel_section_article1!$B$3:$B$962,C309,[49]mensuel_section_article1!$C$3:$C$962,D309)</f>
        <v>#VALUE!</v>
      </c>
      <c r="H309" s="60">
        <v>-0.38000000000465661</v>
      </c>
      <c r="I309" s="60">
        <v>48390</v>
      </c>
      <c r="J309" s="60">
        <v>48389.45</v>
      </c>
      <c r="K309" s="60">
        <f t="shared" si="167"/>
        <v>-48389.83</v>
      </c>
      <c r="L309" s="61" t="e">
        <f>IF(F309&lt;&gt;0,K309/F309,0)</f>
        <v>#VALUE!</v>
      </c>
      <c r="M309" s="60" t="e">
        <f>+SUMIFS([51]section_article!$H$10:$H$936,[51]section_article!$C$10:$C$936,C309,[51]section_article!$D$10:$D$936,D309)</f>
        <v>#VALUE!</v>
      </c>
      <c r="N309" s="24" t="e">
        <f t="shared" ref="N307:N313" si="169">+J309-M309</f>
        <v>#VALUE!</v>
      </c>
      <c r="O309" s="9"/>
      <c r="Q309" s="63"/>
      <c r="AK309" s="64"/>
      <c r="AL309" s="64"/>
      <c r="AM309" s="64"/>
      <c r="AN309" s="64"/>
      <c r="AO309" s="11">
        <v>1117111</v>
      </c>
      <c r="AP309" s="65" t="str">
        <f t="shared" si="168"/>
        <v>11171113</v>
      </c>
    </row>
    <row r="310" spans="1:42" s="62" customFormat="1" ht="27.75" customHeight="1" thickTop="1" thickBot="1" x14ac:dyDescent="0.3">
      <c r="A310" s="56" t="s">
        <v>22</v>
      </c>
      <c r="B310" s="56" t="s">
        <v>22</v>
      </c>
      <c r="C310" s="57">
        <f t="shared" si="165"/>
        <v>1117111</v>
      </c>
      <c r="D310" s="58">
        <v>4</v>
      </c>
      <c r="E310" s="59" t="str">
        <f t="shared" si="166"/>
        <v>IMMOBILISATION CORPORELLE</v>
      </c>
      <c r="F310" s="60" t="e">
        <f>SUMIFS([49]mensuel_section_article1!$E$3:$E$962,[49]mensuel_section_article1!$B$3:$B$962,C310,[49]mensuel_section_article1!$C$3:$C$962,D310)</f>
        <v>#VALUE!</v>
      </c>
      <c r="G310" s="60" t="e">
        <f>SUMIFS([49]mensuel_section_article1!$G$3:$G$962,[49]mensuel_section_article1!$B$3:$B$962,C310,[49]mensuel_section_article1!$C$3:$C$962,D310)</f>
        <v>#VALUE!</v>
      </c>
      <c r="H310" s="60">
        <v>254979.29399999999</v>
      </c>
      <c r="I310" s="60">
        <v>1063778.31</v>
      </c>
      <c r="J310" s="60">
        <v>34050.5</v>
      </c>
      <c r="K310" s="60">
        <f t="shared" si="167"/>
        <v>220928.79399999999</v>
      </c>
      <c r="L310" s="61">
        <f>+J310/H310</f>
        <v>0.13354221617697318</v>
      </c>
      <c r="M310" s="60"/>
      <c r="N310" s="24"/>
      <c r="O310" s="9"/>
      <c r="Q310" s="63"/>
      <c r="AK310" s="64"/>
      <c r="AL310" s="64"/>
      <c r="AM310" s="64"/>
      <c r="AN310" s="64"/>
      <c r="AO310" s="11">
        <v>1117111</v>
      </c>
      <c r="AP310" s="65" t="str">
        <f t="shared" si="168"/>
        <v>11171114</v>
      </c>
    </row>
    <row r="311" spans="1:42" s="62" customFormat="1" ht="27.75" hidden="1" customHeight="1" thickTop="1" thickBot="1" x14ac:dyDescent="0.3">
      <c r="A311" s="56" t="s">
        <v>22</v>
      </c>
      <c r="B311" s="56" t="s">
        <v>22</v>
      </c>
      <c r="C311" s="57">
        <f t="shared" si="165"/>
        <v>1117111</v>
      </c>
      <c r="D311" s="58">
        <v>5</v>
      </c>
      <c r="E311" s="59" t="str">
        <f t="shared" si="166"/>
        <v>IMMOBILISATION INCORPORELLE</v>
      </c>
      <c r="F311" s="60" t="e">
        <f>SUMIFS([49]mensuel_section_article1!$E$3:$E$962,[49]mensuel_section_article1!$B$3:$B$962,C311,[49]mensuel_section_article1!$C$3:$C$962,D311)</f>
        <v>#VALUE!</v>
      </c>
      <c r="G311" s="60" t="e">
        <f>SUMIFS([49]mensuel_section_article1!$G$3:$G$962,[49]mensuel_section_article1!$B$3:$B$962,C311,[49]mensuel_section_article1!$C$3:$C$962,D311)</f>
        <v>#VALUE!</v>
      </c>
      <c r="H311" s="60">
        <v>0</v>
      </c>
      <c r="I311" s="60">
        <v>0</v>
      </c>
      <c r="J311" s="60">
        <v>0</v>
      </c>
      <c r="K311" s="60">
        <f t="shared" si="167"/>
        <v>0</v>
      </c>
      <c r="L311" s="61" t="e">
        <f>IF(F311&lt;&gt;0,K311/F311,0)</f>
        <v>#VALUE!</v>
      </c>
      <c r="M311" s="60" t="e">
        <f>+SUMIFS([51]section_article!$H$10:$H$936,[51]section_article!$C$10:$C$936,C311,[51]section_article!$D$10:$D$936,D311)</f>
        <v>#VALUE!</v>
      </c>
      <c r="N311" s="24" t="e">
        <f t="shared" si="169"/>
        <v>#VALUE!</v>
      </c>
      <c r="O311" s="9"/>
      <c r="Q311" s="63"/>
      <c r="AK311" s="64"/>
      <c r="AL311" s="64"/>
      <c r="AM311" s="64"/>
      <c r="AN311" s="64"/>
      <c r="AO311" s="11">
        <v>1117111</v>
      </c>
      <c r="AP311" s="65" t="str">
        <f t="shared" si="168"/>
        <v>11171115</v>
      </c>
    </row>
    <row r="312" spans="1:42" s="62" customFormat="1" ht="27.75" hidden="1" customHeight="1" thickTop="1" thickBot="1" x14ac:dyDescent="0.3">
      <c r="A312" s="56" t="s">
        <v>22</v>
      </c>
      <c r="B312" s="56" t="s">
        <v>22</v>
      </c>
      <c r="C312" s="57">
        <f t="shared" si="165"/>
        <v>1117111</v>
      </c>
      <c r="D312" s="58">
        <v>7</v>
      </c>
      <c r="E312" s="59" t="str">
        <f t="shared" si="166"/>
        <v>SUBVENTIONS,QUOTES-PARTS ET CONTRIB.,ALLOC, INDEMNISATIONS</v>
      </c>
      <c r="F312" s="60" t="e">
        <f>SUMIFS([49]mensuel_section_article1!$E$3:$E$962,[49]mensuel_section_article1!$B$3:$B$962,C312,[49]mensuel_section_article1!$C$3:$C$962,D312)</f>
        <v>#VALUE!</v>
      </c>
      <c r="G312" s="60" t="e">
        <f>SUMIFS([49]mensuel_section_article1!$G$3:$G$962,[49]mensuel_section_article1!$B$3:$B$962,C312,[49]mensuel_section_article1!$C$3:$C$962,D312)</f>
        <v>#VALUE!</v>
      </c>
      <c r="H312" s="60">
        <v>0</v>
      </c>
      <c r="I312" s="60">
        <v>0</v>
      </c>
      <c r="J312" s="60">
        <v>0</v>
      </c>
      <c r="K312" s="60">
        <f t="shared" si="167"/>
        <v>0</v>
      </c>
      <c r="L312" s="61" t="e">
        <f>IF(F312&lt;&gt;0,K312/F312,0)</f>
        <v>#VALUE!</v>
      </c>
      <c r="M312" s="60" t="e">
        <f>+SUMIFS([51]section_article!$H$10:$H$936,[51]section_article!$C$10:$C$936,C312,[51]section_article!$D$10:$D$936,D312)</f>
        <v>#VALUE!</v>
      </c>
      <c r="N312" s="24" t="e">
        <f t="shared" si="169"/>
        <v>#VALUE!</v>
      </c>
      <c r="O312" s="9"/>
      <c r="Q312" s="63"/>
      <c r="AK312" s="64"/>
      <c r="AL312" s="64"/>
      <c r="AM312" s="64"/>
      <c r="AN312" s="64"/>
      <c r="AO312" s="11">
        <v>1117111</v>
      </c>
      <c r="AP312" s="65" t="str">
        <f t="shared" si="168"/>
        <v>11171117</v>
      </c>
    </row>
    <row r="313" spans="1:42" s="62" customFormat="1" ht="27.75" customHeight="1" thickTop="1" thickBot="1" x14ac:dyDescent="0.3">
      <c r="A313" s="56" t="s">
        <v>22</v>
      </c>
      <c r="B313" s="56" t="s">
        <v>22</v>
      </c>
      <c r="C313" s="57">
        <f t="shared" si="165"/>
        <v>1117111</v>
      </c>
      <c r="D313" s="58">
        <v>9</v>
      </c>
      <c r="E313" s="59" t="str">
        <f t="shared" si="166"/>
        <v>AUTRES DEPENSES PUBLIQUES</v>
      </c>
      <c r="F313" s="60" t="e">
        <f>SUMIFS([49]mensuel_section_article1!$E$3:$E$962,[49]mensuel_section_article1!$B$3:$B$962,C313,[49]mensuel_section_article1!$C$3:$C$962,D313)</f>
        <v>#VALUE!</v>
      </c>
      <c r="G313" s="60" t="e">
        <f>SUMIFS([49]mensuel_section_article1!$G$3:$G$962,[49]mensuel_section_article1!$B$3:$B$962,C313,[49]mensuel_section_article1!$C$3:$C$962,D313)</f>
        <v>#VALUE!</v>
      </c>
      <c r="H313" s="60">
        <v>3000000</v>
      </c>
      <c r="I313" s="60">
        <v>2469271</v>
      </c>
      <c r="J313" s="60">
        <v>2469270.4299999997</v>
      </c>
      <c r="K313" s="60">
        <f t="shared" si="167"/>
        <v>530729.5700000003</v>
      </c>
      <c r="L313" s="61">
        <f t="shared" ref="L313:L318" si="170">+J313/H313</f>
        <v>0.82309014333333319</v>
      </c>
      <c r="M313" s="60"/>
      <c r="N313" s="24"/>
      <c r="O313" s="9"/>
      <c r="Q313" s="63"/>
      <c r="AK313" s="64"/>
      <c r="AL313" s="64"/>
      <c r="AM313" s="64"/>
      <c r="AN313" s="64"/>
      <c r="AO313" s="11">
        <v>1117111</v>
      </c>
      <c r="AP313" s="65" t="str">
        <f t="shared" si="168"/>
        <v>11171119</v>
      </c>
    </row>
    <row r="314" spans="1:42" s="1" customFormat="1" ht="27.75" customHeight="1" thickTop="1" thickBot="1" x14ac:dyDescent="0.3">
      <c r="A314" s="50" t="s">
        <v>20</v>
      </c>
      <c r="B314" s="50" t="s">
        <v>20</v>
      </c>
      <c r="C314" s="50" t="s">
        <v>20</v>
      </c>
      <c r="D314" s="51">
        <v>1117112</v>
      </c>
      <c r="E314" s="67" t="s">
        <v>23</v>
      </c>
      <c r="F314" s="68" t="e">
        <f>SUMIF($B$315:$B$321,"article",F315:F321)</f>
        <v>#VALUE!</v>
      </c>
      <c r="G314" s="68" t="e">
        <f>SUMIF($B$315:$B$321,"article",G315:G321)</f>
        <v>#VALUE!</v>
      </c>
      <c r="H314" s="68">
        <f>SUMIF($B$315:$B$321,"article",H315:H321)</f>
        <v>151985142.31400001</v>
      </c>
      <c r="I314" s="68">
        <v>153207434.72999999</v>
      </c>
      <c r="J314" s="68">
        <f>SUMIF($B$315:$B$321,"article",J315:J321)</f>
        <v>146487769.98000002</v>
      </c>
      <c r="K314" s="68">
        <f>SUMIF($B$315:$B$321,"article",K315:K321)</f>
        <v>5497372.3340000082</v>
      </c>
      <c r="L314" s="69">
        <f t="shared" si="170"/>
        <v>0.96382954116236919</v>
      </c>
      <c r="M314" s="68"/>
      <c r="N314" s="68"/>
      <c r="O314" s="8"/>
      <c r="Q314" s="23"/>
      <c r="AK314" s="70"/>
      <c r="AL314" s="70"/>
      <c r="AM314" s="70"/>
      <c r="AN314" s="70"/>
      <c r="AO314" s="11">
        <v>1117112</v>
      </c>
    </row>
    <row r="315" spans="1:42" s="62" customFormat="1" ht="27.75" customHeight="1" thickTop="1" thickBot="1" x14ac:dyDescent="0.3">
      <c r="A315" s="56" t="s">
        <v>22</v>
      </c>
      <c r="B315" s="56" t="s">
        <v>22</v>
      </c>
      <c r="C315" s="57">
        <f t="shared" ref="C315:C321" si="171">IF(A314="SECTION",D314,C314)</f>
        <v>1117112</v>
      </c>
      <c r="D315" s="58">
        <v>1</v>
      </c>
      <c r="E315" s="59" t="str">
        <f t="shared" ref="E315:E321" si="172">IF(D315=1, "DEPENSES DE PERSONNEL",  +IF(D315=2,"DEPENSES DE SERVICES ET CHARGES DIVERSES", +IF(D315=3,"ACHATS DE BIENS DE CONSOMMATION ET PETITS MATERIELS",+IF(D315=4,"IMMOBILISATION CORPORELLE",+IF(D315=5,"IMMOBILISATION INCORPORELLE",+IF(D315=7,"SUBVENTIONS,QUOTES-PARTS ET CONTRIB.,ALLOC, INDEMNISATIONS",+IF(D315=8,"AMORTISSEMENT DE LA DETTE",+IF(D315=9,"AUTRES DEPENSES PUBLIQUES",0))))))))</f>
        <v>DEPENSES DE PERSONNEL</v>
      </c>
      <c r="F315" s="60" t="e">
        <f>SUMIFS([49]mensuel_section_article1!$E$3:$E$962,[49]mensuel_section_article1!$B$3:$B$962,C315,[49]mensuel_section_article1!$C$3:$C$962,D315)</f>
        <v>#VALUE!</v>
      </c>
      <c r="G315" s="60" t="e">
        <f>SUMIFS([49]mensuel_section_article1!$G$3:$G$962,[49]mensuel_section_article1!$B$3:$B$962,C315,[49]mensuel_section_article1!$C$3:$C$962,D315)</f>
        <v>#VALUE!</v>
      </c>
      <c r="H315" s="60">
        <v>103634491.33000001</v>
      </c>
      <c r="I315" s="60">
        <v>96026440.339999989</v>
      </c>
      <c r="J315" s="60">
        <v>95828111.870000005</v>
      </c>
      <c r="K315" s="60">
        <f t="shared" ref="K315:K321" si="173">+H315-J315</f>
        <v>7806379.4600000083</v>
      </c>
      <c r="L315" s="61">
        <f t="shared" si="170"/>
        <v>0.92467392506282098</v>
      </c>
      <c r="M315" s="60"/>
      <c r="N315" s="24"/>
      <c r="O315" s="9"/>
      <c r="Q315" s="63"/>
      <c r="AK315" s="64"/>
      <c r="AL315" s="64"/>
      <c r="AM315" s="64"/>
      <c r="AN315" s="64"/>
      <c r="AO315" s="11">
        <v>1117112</v>
      </c>
      <c r="AP315" s="65" t="str">
        <f t="shared" ref="AP315:AP321" si="174">CONCATENATE(AO315,D315)</f>
        <v>11171121</v>
      </c>
    </row>
    <row r="316" spans="1:42" s="62" customFormat="1" ht="27.75" customHeight="1" thickTop="1" thickBot="1" x14ac:dyDescent="0.3">
      <c r="A316" s="56" t="s">
        <v>22</v>
      </c>
      <c r="B316" s="56" t="s">
        <v>22</v>
      </c>
      <c r="C316" s="57">
        <f t="shared" si="171"/>
        <v>1117112</v>
      </c>
      <c r="D316" s="58">
        <v>2</v>
      </c>
      <c r="E316" s="59" t="str">
        <f t="shared" si="172"/>
        <v>DEPENSES DE SERVICES ET CHARGES DIVERSES</v>
      </c>
      <c r="F316" s="60" t="e">
        <f>SUMIFS([49]mensuel_section_article1!$E$3:$E$962,[49]mensuel_section_article1!$B$3:$B$962,C316,[49]mensuel_section_article1!$C$3:$C$962,D316)</f>
        <v>#VALUE!</v>
      </c>
      <c r="G316" s="60" t="e">
        <f>SUMIFS([49]mensuel_section_article1!$G$3:$G$962,[49]mensuel_section_article1!$B$3:$B$962,C316,[49]mensuel_section_article1!$C$3:$C$962,D316)</f>
        <v>#VALUE!</v>
      </c>
      <c r="H316" s="60">
        <v>10672799.848999999</v>
      </c>
      <c r="I316" s="60">
        <v>18547898.309999999</v>
      </c>
      <c r="J316" s="60">
        <v>16750298.720000001</v>
      </c>
      <c r="K316" s="60">
        <f t="shared" si="173"/>
        <v>-6077498.8710000012</v>
      </c>
      <c r="L316" s="61">
        <f t="shared" si="170"/>
        <v>1.5694381003096802</v>
      </c>
      <c r="M316" s="60"/>
      <c r="N316" s="24"/>
      <c r="O316" s="9"/>
      <c r="Q316" s="66"/>
      <c r="AK316" s="64"/>
      <c r="AL316" s="64"/>
      <c r="AM316" s="64"/>
      <c r="AN316" s="64"/>
      <c r="AO316" s="11">
        <v>1117112</v>
      </c>
      <c r="AP316" s="65" t="str">
        <f t="shared" si="174"/>
        <v>11171122</v>
      </c>
    </row>
    <row r="317" spans="1:42" s="62" customFormat="1" ht="27.75" customHeight="1" thickTop="1" thickBot="1" x14ac:dyDescent="0.3">
      <c r="A317" s="56" t="s">
        <v>22</v>
      </c>
      <c r="B317" s="56" t="s">
        <v>22</v>
      </c>
      <c r="C317" s="57">
        <f t="shared" si="171"/>
        <v>1117112</v>
      </c>
      <c r="D317" s="58">
        <v>3</v>
      </c>
      <c r="E317" s="59" t="str">
        <f t="shared" si="172"/>
        <v>ACHATS DE BIENS DE CONSOMMATION ET PETITS MATERIELS</v>
      </c>
      <c r="F317" s="60" t="e">
        <f>SUMIFS([49]mensuel_section_article1!$E$3:$E$962,[49]mensuel_section_article1!$B$3:$B$962,C317,[49]mensuel_section_article1!$C$3:$C$962,D317)</f>
        <v>#VALUE!</v>
      </c>
      <c r="G317" s="60" t="e">
        <f>SUMIFS([49]mensuel_section_article1!$G$3:$G$962,[49]mensuel_section_article1!$B$3:$B$962,C317,[49]mensuel_section_article1!$C$3:$C$962,D317)</f>
        <v>#VALUE!</v>
      </c>
      <c r="H317" s="60">
        <v>12602730.321</v>
      </c>
      <c r="I317" s="60">
        <v>13836045.289999999</v>
      </c>
      <c r="J317" s="60">
        <v>11346571.390000001</v>
      </c>
      <c r="K317" s="60">
        <f t="shared" si="173"/>
        <v>1256158.9309999999</v>
      </c>
      <c r="L317" s="61">
        <f t="shared" si="170"/>
        <v>0.90032644522220273</v>
      </c>
      <c r="M317" s="60"/>
      <c r="N317" s="24"/>
      <c r="O317" s="9"/>
      <c r="Q317" s="63"/>
      <c r="AK317" s="64"/>
      <c r="AL317" s="64"/>
      <c r="AM317" s="64"/>
      <c r="AN317" s="64"/>
      <c r="AO317" s="11">
        <v>1117112</v>
      </c>
      <c r="AP317" s="65" t="str">
        <f t="shared" si="174"/>
        <v>11171123</v>
      </c>
    </row>
    <row r="318" spans="1:42" s="62" customFormat="1" ht="27.75" customHeight="1" thickTop="1" thickBot="1" x14ac:dyDescent="0.3">
      <c r="A318" s="56" t="s">
        <v>22</v>
      </c>
      <c r="B318" s="56" t="s">
        <v>22</v>
      </c>
      <c r="C318" s="57">
        <f t="shared" si="171"/>
        <v>1117112</v>
      </c>
      <c r="D318" s="58">
        <v>4</v>
      </c>
      <c r="E318" s="59" t="str">
        <f t="shared" si="172"/>
        <v>IMMOBILISATION CORPORELLE</v>
      </c>
      <c r="F318" s="60" t="e">
        <f>SUMIFS([49]mensuel_section_article1!$E$3:$E$962,[49]mensuel_section_article1!$B$3:$B$962,C318,[49]mensuel_section_article1!$C$3:$C$962,D318)</f>
        <v>#VALUE!</v>
      </c>
      <c r="G318" s="60" t="e">
        <f>SUMIFS([49]mensuel_section_article1!$G$3:$G$962,[49]mensuel_section_article1!$B$3:$B$962,C318,[49]mensuel_section_article1!$C$3:$C$962,D318)</f>
        <v>#VALUE!</v>
      </c>
      <c r="H318" s="60">
        <v>5074947.7139999997</v>
      </c>
      <c r="I318" s="60">
        <v>4066148.6900000004</v>
      </c>
      <c r="J318" s="60">
        <v>2234732.7999999998</v>
      </c>
      <c r="K318" s="60">
        <f t="shared" si="173"/>
        <v>2840214.9139999999</v>
      </c>
      <c r="L318" s="61">
        <f t="shared" si="170"/>
        <v>0.44034597515855312</v>
      </c>
      <c r="M318" s="60"/>
      <c r="N318" s="24"/>
      <c r="O318" s="9"/>
      <c r="Q318" s="63"/>
      <c r="AK318" s="64"/>
      <c r="AL318" s="64"/>
      <c r="AM318" s="64"/>
      <c r="AN318" s="64"/>
      <c r="AO318" s="11">
        <v>1117112</v>
      </c>
      <c r="AP318" s="65" t="str">
        <f t="shared" si="174"/>
        <v>11171124</v>
      </c>
    </row>
    <row r="319" spans="1:42" s="62" customFormat="1" ht="27.75" hidden="1" customHeight="1" thickTop="1" thickBot="1" x14ac:dyDescent="0.3">
      <c r="A319" s="56" t="s">
        <v>22</v>
      </c>
      <c r="B319" s="56" t="s">
        <v>22</v>
      </c>
      <c r="C319" s="57">
        <f t="shared" si="171"/>
        <v>1117112</v>
      </c>
      <c r="D319" s="58">
        <v>5</v>
      </c>
      <c r="E319" s="59" t="str">
        <f t="shared" si="172"/>
        <v>IMMOBILISATION INCORPORELLE</v>
      </c>
      <c r="F319" s="60" t="e">
        <f>SUMIFS([49]mensuel_section_article1!$E$3:$E$962,[49]mensuel_section_article1!$B$3:$B$962,C319,[49]mensuel_section_article1!$C$3:$C$962,D319)</f>
        <v>#VALUE!</v>
      </c>
      <c r="G319" s="60" t="e">
        <f>SUMIFS([49]mensuel_section_article1!$G$3:$G$962,[49]mensuel_section_article1!$B$3:$B$962,C319,[49]mensuel_section_article1!$C$3:$C$962,D319)</f>
        <v>#VALUE!</v>
      </c>
      <c r="H319" s="60">
        <v>0</v>
      </c>
      <c r="I319" s="60">
        <v>200000</v>
      </c>
      <c r="J319" s="60">
        <v>0</v>
      </c>
      <c r="K319" s="60">
        <f t="shared" si="173"/>
        <v>0</v>
      </c>
      <c r="L319" s="61" t="e">
        <f>IF(F319&lt;&gt;0,K319/F319,0)</f>
        <v>#VALUE!</v>
      </c>
      <c r="M319" s="60" t="e">
        <f>+SUMIFS([51]section_article!$H$10:$H$936,[51]section_article!$C$10:$C$936,C319,[51]section_article!$D$10:$D$936,D319)</f>
        <v>#VALUE!</v>
      </c>
      <c r="N319" s="24" t="e">
        <f t="shared" ref="N315:N321" si="175">+J319-M319</f>
        <v>#VALUE!</v>
      </c>
      <c r="O319" s="9"/>
      <c r="Q319" s="63"/>
      <c r="AK319" s="64"/>
      <c r="AL319" s="64"/>
      <c r="AM319" s="64"/>
      <c r="AN319" s="64"/>
      <c r="AO319" s="11">
        <v>1117112</v>
      </c>
      <c r="AP319" s="65" t="str">
        <f t="shared" si="174"/>
        <v>11171125</v>
      </c>
    </row>
    <row r="320" spans="1:42" s="62" customFormat="1" ht="27.75" customHeight="1" thickTop="1" thickBot="1" x14ac:dyDescent="0.3">
      <c r="A320" s="56" t="s">
        <v>22</v>
      </c>
      <c r="B320" s="56" t="s">
        <v>22</v>
      </c>
      <c r="C320" s="57">
        <f t="shared" si="171"/>
        <v>1117112</v>
      </c>
      <c r="D320" s="58">
        <v>7</v>
      </c>
      <c r="E320" s="59" t="str">
        <f t="shared" si="172"/>
        <v>SUBVENTIONS,QUOTES-PARTS ET CONTRIB.,ALLOC, INDEMNISATIONS</v>
      </c>
      <c r="F320" s="60" t="e">
        <f>SUMIFS([49]mensuel_section_article1!$E$3:$E$962,[49]mensuel_section_article1!$B$3:$B$962,C320,[49]mensuel_section_article1!$C$3:$C$962,D320)</f>
        <v>#VALUE!</v>
      </c>
      <c r="G320" s="60" t="e">
        <f>SUMIFS([49]mensuel_section_article1!$G$3:$G$962,[49]mensuel_section_article1!$B$3:$B$962,C320,[49]mensuel_section_article1!$C$3:$C$962,D320)</f>
        <v>#VALUE!</v>
      </c>
      <c r="H320" s="60">
        <v>1000000</v>
      </c>
      <c r="I320" s="60">
        <v>1000000</v>
      </c>
      <c r="J320" s="60">
        <v>797915.2</v>
      </c>
      <c r="K320" s="60">
        <f t="shared" si="173"/>
        <v>202084.80000000005</v>
      </c>
      <c r="L320" s="61">
        <f>+J320/H320</f>
        <v>0.79791519999999994</v>
      </c>
      <c r="M320" s="60"/>
      <c r="N320" s="24"/>
      <c r="O320" s="9"/>
      <c r="Q320" s="63"/>
      <c r="AK320" s="64"/>
      <c r="AL320" s="64"/>
      <c r="AM320" s="64"/>
      <c r="AN320" s="64"/>
      <c r="AO320" s="11">
        <v>1117112</v>
      </c>
      <c r="AP320" s="65" t="str">
        <f t="shared" si="174"/>
        <v>11171127</v>
      </c>
    </row>
    <row r="321" spans="1:42" s="62" customFormat="1" ht="27.75" customHeight="1" thickTop="1" thickBot="1" x14ac:dyDescent="0.3">
      <c r="A321" s="56" t="s">
        <v>22</v>
      </c>
      <c r="B321" s="56" t="s">
        <v>22</v>
      </c>
      <c r="C321" s="57">
        <f t="shared" si="171"/>
        <v>1117112</v>
      </c>
      <c r="D321" s="58">
        <v>9</v>
      </c>
      <c r="E321" s="59" t="str">
        <f t="shared" si="172"/>
        <v>AUTRES DEPENSES PUBLIQUES</v>
      </c>
      <c r="F321" s="60" t="e">
        <f>SUMIFS([49]mensuel_section_article1!$E$3:$E$962,[49]mensuel_section_article1!$B$3:$B$962,C321,[49]mensuel_section_article1!$C$3:$C$962,D321)</f>
        <v>#VALUE!</v>
      </c>
      <c r="G321" s="60" t="e">
        <f>SUMIFS([49]mensuel_section_article1!$G$3:$G$962,[49]mensuel_section_article1!$B$3:$B$962,C321,[49]mensuel_section_article1!$C$3:$C$962,D321)</f>
        <v>#VALUE!</v>
      </c>
      <c r="H321" s="60">
        <v>19000173.100000001</v>
      </c>
      <c r="I321" s="60">
        <v>19530902.100000001</v>
      </c>
      <c r="J321" s="60">
        <v>19530140</v>
      </c>
      <c r="K321" s="60">
        <f t="shared" si="173"/>
        <v>-529966.89999999851</v>
      </c>
      <c r="L321" s="61">
        <f>+J321/H321</f>
        <v>1.0278927406192946</v>
      </c>
      <c r="M321" s="60"/>
      <c r="N321" s="24"/>
      <c r="O321" s="9"/>
      <c r="Q321" s="63"/>
      <c r="AK321" s="64"/>
      <c r="AL321" s="64"/>
      <c r="AM321" s="64"/>
      <c r="AN321" s="64"/>
      <c r="AO321" s="11">
        <v>1117112</v>
      </c>
      <c r="AP321" s="65" t="str">
        <f t="shared" si="174"/>
        <v>11171129</v>
      </c>
    </row>
    <row r="322" spans="1:42" s="1" customFormat="1" ht="27.75" customHeight="1" thickTop="1" thickBot="1" x14ac:dyDescent="0.3">
      <c r="A322" s="50" t="s">
        <v>20</v>
      </c>
      <c r="B322" s="50" t="s">
        <v>20</v>
      </c>
      <c r="C322" s="50" t="s">
        <v>20</v>
      </c>
      <c r="D322" s="51">
        <v>1117113</v>
      </c>
      <c r="E322" s="67" t="s">
        <v>62</v>
      </c>
      <c r="F322" s="68" t="e">
        <f>SUMIF($B$323:$B$325,"article",F323:F325)</f>
        <v>#VALUE!</v>
      </c>
      <c r="G322" s="68" t="e">
        <f>SUMIF($B$323:$B$325,"article",G323:G325)</f>
        <v>#VALUE!</v>
      </c>
      <c r="H322" s="68">
        <f>SUMIF($B$323:$B$325,"article",H323:H325)</f>
        <v>30391127.280000001</v>
      </c>
      <c r="I322" s="68">
        <v>30391127.300000001</v>
      </c>
      <c r="J322" s="68">
        <f>SUMIF($B$323:$B$325,"article",J323:J325)</f>
        <v>29921708.300000001</v>
      </c>
      <c r="K322" s="68">
        <f>SUMIF($B$323:$B$325,"article",K323:K325)</f>
        <v>469418.98000000045</v>
      </c>
      <c r="L322" s="69">
        <f>+J322/H322</f>
        <v>0.98455407804800588</v>
      </c>
      <c r="M322" s="68"/>
      <c r="N322" s="68"/>
      <c r="O322" s="9"/>
      <c r="Q322" s="23"/>
      <c r="AK322" s="70"/>
      <c r="AL322" s="70"/>
      <c r="AM322" s="70"/>
      <c r="AN322" s="70"/>
      <c r="AO322" s="11">
        <v>1117113</v>
      </c>
    </row>
    <row r="323" spans="1:42" s="62" customFormat="1" ht="27.75" customHeight="1" thickTop="1" thickBot="1" x14ac:dyDescent="0.3">
      <c r="A323" s="56" t="s">
        <v>22</v>
      </c>
      <c r="B323" s="56" t="s">
        <v>22</v>
      </c>
      <c r="C323" s="57">
        <f>IF(A322="SECTION",D322,C322)</f>
        <v>1117113</v>
      </c>
      <c r="D323" s="58">
        <v>1</v>
      </c>
      <c r="E323" s="59" t="str">
        <f>IF(D323=1, "DEPENSES DE PERSONNEL",  +IF(D323=2,"DEPENSES DE SERVICES ET CHARGES DIVERSES", +IF(D323=3,"ACHATS DE BIENS DE CONSOMMATION ET PETITS MATERIELS",+IF(D323=4,"IMMOBILISATION CORPORELLE",+IF(D323=5,"IMMOBILISATION INCORPORELLE",+IF(D323=7,"SUBVENTIONS,QUOTES-PARTS ET CONTRIB.,ALLOC, INDEMNISATIONS",+IF(D323=8,"AMORTISSEMENT DE LA DETTE",+IF(D323=9,"AUTRES DEPENSES PUBLIQUES",0))))))))</f>
        <v>DEPENSES DE PERSONNEL</v>
      </c>
      <c r="F323" s="60" t="e">
        <f>SUMIFS([49]mensuel_section_article1!$E$3:$E$962,[49]mensuel_section_article1!$B$3:$B$962,C323,[49]mensuel_section_article1!$C$3:$C$962,D323)</f>
        <v>#VALUE!</v>
      </c>
      <c r="G323" s="60" t="e">
        <f>SUMIFS([49]mensuel_section_article1!$G$3:$G$962,[49]mensuel_section_article1!$B$3:$B$962,C323,[49]mensuel_section_article1!$C$3:$C$962,D323)</f>
        <v>#VALUE!</v>
      </c>
      <c r="H323" s="60">
        <v>20391131.280000001</v>
      </c>
      <c r="I323" s="60">
        <v>20391131.300000001</v>
      </c>
      <c r="J323" s="60">
        <v>20339673.960000001</v>
      </c>
      <c r="K323" s="60">
        <f t="shared" ref="K323:K325" si="176">+H323-J323</f>
        <v>51457.320000000298</v>
      </c>
      <c r="L323" s="61">
        <f>+J323/H323</f>
        <v>0.99747648527718169</v>
      </c>
      <c r="M323" s="60"/>
      <c r="N323" s="24"/>
      <c r="O323" s="9"/>
      <c r="Q323" s="63"/>
      <c r="AK323" s="64"/>
      <c r="AL323" s="64"/>
      <c r="AM323" s="64"/>
      <c r="AN323" s="64"/>
      <c r="AO323" s="11">
        <v>1117113</v>
      </c>
      <c r="AP323" s="65" t="str">
        <f>CONCATENATE(AO323,D323)</f>
        <v>11171131</v>
      </c>
    </row>
    <row r="324" spans="1:42" s="62" customFormat="1" ht="27.75" customHeight="1" thickTop="1" thickBot="1" x14ac:dyDescent="0.3">
      <c r="A324" s="56" t="s">
        <v>22</v>
      </c>
      <c r="B324" s="56" t="s">
        <v>22</v>
      </c>
      <c r="C324" s="57">
        <f>IF(A322="SECTION",D322,C322)</f>
        <v>1117113</v>
      </c>
      <c r="D324" s="58">
        <v>2</v>
      </c>
      <c r="E324" s="59" t="str">
        <f>IF(D324=1, "DEPENSES DE PERSONNEL",  +IF(D324=2,"DEPENSES DE SERVICES ET CHARGES DIVERSES", +IF(D324=3,"ACHATS DE BIENS DE CONSOMMATION ET PETITS MATERIELS",+IF(D324=4,"IMMOBILISATION CORPORELLE",+IF(D324=5,"IMMOBILISATION INCORPORELLE",+IF(D324=7,"SUBVENTIONS,QUOTES-PARTS ET CONTRIB.,ALLOC, INDEMNISATIONS",+IF(D324=8,"AMORTISSEMENT DE LA DETTE",+IF(D324=9,"AUTRES DEPENSES PUBLIQUES",0))))))))</f>
        <v>DEPENSES DE SERVICES ET CHARGES DIVERSES</v>
      </c>
      <c r="F324" s="60" t="e">
        <f>SUMIFS([49]mensuel_section_article1!$E$3:$E$962,[49]mensuel_section_article1!$B$3:$B$962,C324,[49]mensuel_section_article1!$C$3:$C$962,D324)</f>
        <v>#VALUE!</v>
      </c>
      <c r="G324" s="60" t="e">
        <f>SUMIFS([49]mensuel_section_article1!$G$3:$G$962,[49]mensuel_section_article1!$B$3:$B$962,C324,[49]mensuel_section_article1!$C$3:$C$962,D324)</f>
        <v>#VALUE!</v>
      </c>
      <c r="H324" s="60">
        <v>9999996</v>
      </c>
      <c r="I324" s="60">
        <v>9999996</v>
      </c>
      <c r="J324" s="60">
        <v>9582034.3399999999</v>
      </c>
      <c r="K324" s="60">
        <f t="shared" si="176"/>
        <v>417961.66000000015</v>
      </c>
      <c r="L324" s="61">
        <f>+J324/H324</f>
        <v>0.95820381728152693</v>
      </c>
      <c r="M324" s="60"/>
      <c r="N324" s="24"/>
      <c r="O324" s="9"/>
      <c r="Q324" s="63"/>
      <c r="AK324" s="64"/>
      <c r="AL324" s="64"/>
      <c r="AM324" s="64"/>
      <c r="AN324" s="64"/>
      <c r="AO324" s="11">
        <v>1117113</v>
      </c>
      <c r="AP324" s="65" t="str">
        <f>CONCATENATE(AO324,D324)</f>
        <v>11171132</v>
      </c>
    </row>
    <row r="325" spans="1:42" s="62" customFormat="1" ht="27.75" hidden="1" customHeight="1" thickTop="1" thickBot="1" x14ac:dyDescent="0.3">
      <c r="A325" s="56" t="s">
        <v>22</v>
      </c>
      <c r="B325" s="56" t="s">
        <v>22</v>
      </c>
      <c r="C325" s="57">
        <f>IF(A323="SECTION",D323,C323)</f>
        <v>1117113</v>
      </c>
      <c r="D325" s="58">
        <v>9</v>
      </c>
      <c r="E325" s="59" t="str">
        <f>IF(D325=1, "DEPENSES DE PERSONNEL",  +IF(D325=2,"DEPENSES DE SERVICES ET CHARGES DIVERSES", +IF(D325=3,"ACHATS DE BIENS DE CONSOMMATION ET PETITS MATERIELS",+IF(D325=4,"IMMOBILISATION CORPORELLE",+IF(D325=5,"IMMOBILISATION INCORPORELLE",+IF(D325=7,"SUBVENTIONS,QUOTES-PARTS ET CONTRIB.,ALLOC, INDEMNISATIONS",+IF(D325=8,"AMORTISSEMENT DE LA DETTE",+IF(D325=9,"AUTRES DEPENSES PUBLIQUES",0))))))))</f>
        <v>AUTRES DEPENSES PUBLIQUES</v>
      </c>
      <c r="F325" s="60" t="e">
        <f>SUMIFS([49]mensuel_section_article1!$E$3:$E$962,[49]mensuel_section_article1!$B$3:$B$962,C325,[49]mensuel_section_article1!$C$3:$C$962,D325)</f>
        <v>#VALUE!</v>
      </c>
      <c r="G325" s="60" t="e">
        <f>SUMIFS([49]mensuel_section_article1!$G$3:$G$962,[49]mensuel_section_article1!$B$3:$B$962,C325,[49]mensuel_section_article1!$C$3:$C$962,D325)</f>
        <v>#VALUE!</v>
      </c>
      <c r="H325" s="60">
        <v>0</v>
      </c>
      <c r="I325" s="60">
        <v>0</v>
      </c>
      <c r="J325" s="60">
        <v>0</v>
      </c>
      <c r="K325" s="60">
        <f t="shared" si="176"/>
        <v>0</v>
      </c>
      <c r="L325" s="61" t="e">
        <f>IF(F325&lt;&gt;0,K325/F325,0)</f>
        <v>#VALUE!</v>
      </c>
      <c r="M325" s="60" t="e">
        <f>+SUMIFS([51]section_article!$H$10:$H$936,[51]section_article!$C$10:$C$936,C325,[51]section_article!$D$10:$D$936,D325)</f>
        <v>#VALUE!</v>
      </c>
      <c r="N325" s="24" t="e">
        <f>+J325-M325</f>
        <v>#VALUE!</v>
      </c>
      <c r="O325" s="9"/>
      <c r="Q325" s="63"/>
      <c r="AK325" s="64"/>
      <c r="AL325" s="64"/>
      <c r="AM325" s="64"/>
      <c r="AN325" s="64"/>
      <c r="AO325" s="11">
        <v>1117113</v>
      </c>
      <c r="AP325" s="65" t="str">
        <f>CONCATENATE(AO325,D325)</f>
        <v>11171139</v>
      </c>
    </row>
    <row r="326" spans="1:42" s="1" customFormat="1" ht="27.75" customHeight="1" thickTop="1" x14ac:dyDescent="0.25">
      <c r="A326" s="31" t="s">
        <v>14</v>
      </c>
      <c r="B326" s="31" t="s">
        <v>14</v>
      </c>
      <c r="C326" s="31" t="s">
        <v>14</v>
      </c>
      <c r="D326" s="87">
        <v>12</v>
      </c>
      <c r="E326" s="88" t="s">
        <v>63</v>
      </c>
      <c r="F326" s="89" t="e">
        <f>SUMIF($B$327:$B$549,"MIN",F327:F549)</f>
        <v>#VALUE!</v>
      </c>
      <c r="G326" s="89" t="e">
        <f>SUMIF($B$327:$B$549,"MIN",G327:G549)</f>
        <v>#VALUE!</v>
      </c>
      <c r="H326" s="89">
        <f>SUMIF($B$327:$B$549,"MIN",H327:H549)</f>
        <v>21933316566.131096</v>
      </c>
      <c r="I326" s="89">
        <v>22172185807.199997</v>
      </c>
      <c r="J326" s="89">
        <f>SUMIF($B$327:$B$549,"MIN",J327:J549)</f>
        <v>21463946359.030003</v>
      </c>
      <c r="K326" s="89">
        <f>SUMIF($B$327:$B$549,"MIN",K327:K549)</f>
        <v>469370207.10109508</v>
      </c>
      <c r="L326" s="90">
        <f t="shared" ref="L326:L333" si="177">+J326/H326</f>
        <v>0.97860012617399217</v>
      </c>
      <c r="M326" s="89"/>
      <c r="N326" s="89"/>
      <c r="O326" s="9"/>
      <c r="Q326" s="23"/>
      <c r="AK326" s="91"/>
      <c r="AL326" s="91"/>
      <c r="AM326" s="91"/>
      <c r="AN326" s="91"/>
      <c r="AO326" s="11"/>
    </row>
    <row r="327" spans="1:42" s="1" customFormat="1" ht="27.75" customHeight="1" x14ac:dyDescent="0.25">
      <c r="A327" s="37" t="s">
        <v>16</v>
      </c>
      <c r="B327" s="37" t="s">
        <v>16</v>
      </c>
      <c r="C327" s="37" t="s">
        <v>16</v>
      </c>
      <c r="D327" s="73">
        <v>1211</v>
      </c>
      <c r="E327" s="74" t="s">
        <v>64</v>
      </c>
      <c r="F327" s="75" t="e">
        <f>SUMIF($B$328:$B$374,"chap",F328:F374)</f>
        <v>#VALUE!</v>
      </c>
      <c r="G327" s="75" t="e">
        <f>SUMIF($B$328:$B$374,"chap",G328:G374)</f>
        <v>#VALUE!</v>
      </c>
      <c r="H327" s="75">
        <f>SUMIF($B$328:$B$374,"chap",H328:H374)</f>
        <v>11692334902.492001</v>
      </c>
      <c r="I327" s="75">
        <v>11632334902.299997</v>
      </c>
      <c r="J327" s="75">
        <f>SUMIF($B$328:$B$374,"chap",J328:J374)</f>
        <v>11569711985.140001</v>
      </c>
      <c r="K327" s="75">
        <f>SUMIF($B$328:$B$374,"chap",K328:K374)</f>
        <v>122622917.35200009</v>
      </c>
      <c r="L327" s="76">
        <f t="shared" si="177"/>
        <v>0.98951253805380956</v>
      </c>
      <c r="M327" s="75"/>
      <c r="N327" s="75"/>
      <c r="O327" s="9"/>
      <c r="Q327" s="23"/>
      <c r="AK327" s="92"/>
      <c r="AL327" s="92"/>
      <c r="AM327" s="92"/>
      <c r="AN327" s="92"/>
      <c r="AO327" s="11"/>
    </row>
    <row r="328" spans="1:42" s="49" customFormat="1" ht="27.75" customHeight="1" x14ac:dyDescent="0.25">
      <c r="A328" s="43" t="s">
        <v>19</v>
      </c>
      <c r="B328" s="43" t="s">
        <v>19</v>
      </c>
      <c r="C328" s="43" t="s">
        <v>19</v>
      </c>
      <c r="D328" s="44">
        <v>12111</v>
      </c>
      <c r="E328" s="45" t="str">
        <f>VLOOKUP(D328,[49]INST!$A$1:$B$626,2,FALSE)</f>
        <v>SERVICES INTERNES</v>
      </c>
      <c r="F328" s="46" t="e">
        <f>SUMIF($B$329:$B$365,"section",F329:F365)</f>
        <v>#VALUE!</v>
      </c>
      <c r="G328" s="46" t="e">
        <f>SUMIF($B$329:$B$365,"section",G329:G365)</f>
        <v>#VALUE!</v>
      </c>
      <c r="H328" s="46">
        <f>SUMIF($B$329:$B$365,"section",H329:H365)</f>
        <v>2176590228.9819999</v>
      </c>
      <c r="I328" s="46">
        <v>2116590228.8</v>
      </c>
      <c r="J328" s="46">
        <f>SUMIF($B$329:$B$365,"section",J329:J365)</f>
        <v>2105741469.0700002</v>
      </c>
      <c r="K328" s="46">
        <f>SUMIF($B$329:$B$365,"section",K329:K365)</f>
        <v>70848759.912000299</v>
      </c>
      <c r="L328" s="47">
        <f t="shared" si="177"/>
        <v>0.96744965636221936</v>
      </c>
      <c r="M328" s="46"/>
      <c r="N328" s="46"/>
      <c r="O328" s="48"/>
      <c r="AO328" s="11"/>
    </row>
    <row r="329" spans="1:42" s="1" customFormat="1" ht="27.75" customHeight="1" thickBot="1" x14ac:dyDescent="0.3">
      <c r="A329" s="50" t="s">
        <v>20</v>
      </c>
      <c r="B329" s="50" t="s">
        <v>20</v>
      </c>
      <c r="C329" s="50" t="s">
        <v>20</v>
      </c>
      <c r="D329" s="51">
        <v>1211111</v>
      </c>
      <c r="E329" s="67" t="s">
        <v>21</v>
      </c>
      <c r="F329" s="68" t="e">
        <f>SUMIF($B$330:$B$336,"article",F330:F336)</f>
        <v>#VALUE!</v>
      </c>
      <c r="G329" s="68" t="e">
        <f>SUMIF($B$330:$B$336,"article",G330:G336)</f>
        <v>#VALUE!</v>
      </c>
      <c r="H329" s="68">
        <f>SUMIF($B$330:$B$336,"article",H330:H336)</f>
        <v>42573367.747999996</v>
      </c>
      <c r="I329" s="68">
        <v>35543792.890000001</v>
      </c>
      <c r="J329" s="68">
        <f>SUMIF($B$330:$B$336,"article",J330:J336)</f>
        <v>32140160.119999997</v>
      </c>
      <c r="K329" s="68">
        <f>SUMIF($B$330:$B$336,"article",K330:K336)</f>
        <v>10433207.627999999</v>
      </c>
      <c r="L329" s="69">
        <f t="shared" si="177"/>
        <v>0.75493581598345294</v>
      </c>
      <c r="M329" s="68"/>
      <c r="N329" s="68"/>
      <c r="O329" s="9"/>
      <c r="Q329" s="23"/>
      <c r="AK329" s="70"/>
      <c r="AL329" s="70"/>
      <c r="AM329" s="70"/>
      <c r="AN329" s="70"/>
      <c r="AO329" s="11">
        <v>1211111</v>
      </c>
    </row>
    <row r="330" spans="1:42" s="62" customFormat="1" ht="27.75" customHeight="1" thickTop="1" thickBot="1" x14ac:dyDescent="0.3">
      <c r="A330" s="56" t="s">
        <v>22</v>
      </c>
      <c r="B330" s="56" t="s">
        <v>22</v>
      </c>
      <c r="C330" s="57">
        <f t="shared" ref="C330:C336" si="178">IF(A329="SECTION",D329,C329)</f>
        <v>1211111</v>
      </c>
      <c r="D330" s="58">
        <v>1</v>
      </c>
      <c r="E330" s="59" t="str">
        <f t="shared" ref="E330:E336" si="179">IF(D330=1, "DEPENSES DE PERSONNEL",  +IF(D330=2,"DEPENSES DE SERVICES ET CHARGES DIVERSES", +IF(D330=3,"ACHATS DE BIENS DE CONSOMMATION ET PETITS MATERIELS",+IF(D330=4,"IMMOBILISATION CORPORELLE",+IF(D330=5,"IMMOBILISATION INCORPORELLE",+IF(D330=7,"SUBVENTIONS,QUOTES-PARTS ET CONTRIB.,ALLOC, INDEMNISATIONS",+IF(D330=8,"AMORTISSEMENT DE LA DETTE",+IF(D330=9,"AUTRES DEPENSES PUBLIQUES",0))))))))</f>
        <v>DEPENSES DE PERSONNEL</v>
      </c>
      <c r="F330" s="60" t="e">
        <f>SUMIFS([49]mensuel_section_article1!$E$3:$E$962,[49]mensuel_section_article1!$B$3:$B$962,C330,[49]mensuel_section_article1!$C$3:$C$962,D330)</f>
        <v>#VALUE!</v>
      </c>
      <c r="G330" s="60" t="e">
        <f>SUMIFS([49]mensuel_section_article1!$G$3:$G$962,[49]mensuel_section_article1!$B$3:$B$962,C330,[49]mensuel_section_article1!$C$3:$C$962,D330)</f>
        <v>#VALUE!</v>
      </c>
      <c r="H330" s="60">
        <v>21131924.259999998</v>
      </c>
      <c r="I330" s="60">
        <v>14979349.389999999</v>
      </c>
      <c r="J330" s="60">
        <v>14978983.359999999</v>
      </c>
      <c r="K330" s="60">
        <f t="shared" ref="K330:K336" si="180">+H330-J330</f>
        <v>6152940.8999999985</v>
      </c>
      <c r="L330" s="61">
        <f t="shared" si="177"/>
        <v>0.70883196322794317</v>
      </c>
      <c r="M330" s="60"/>
      <c r="N330" s="24"/>
      <c r="O330" s="9"/>
      <c r="Q330" s="63"/>
      <c r="AK330" s="64"/>
      <c r="AL330" s="64"/>
      <c r="AM330" s="64"/>
      <c r="AN330" s="64"/>
      <c r="AO330" s="11">
        <v>1211111</v>
      </c>
      <c r="AP330" s="65" t="str">
        <f t="shared" ref="AP330:AP336" si="181">CONCATENATE(AO330,D330)</f>
        <v>12111111</v>
      </c>
    </row>
    <row r="331" spans="1:42" s="62" customFormat="1" ht="27.75" customHeight="1" thickTop="1" thickBot="1" x14ac:dyDescent="0.3">
      <c r="A331" s="56" t="s">
        <v>22</v>
      </c>
      <c r="B331" s="56" t="s">
        <v>22</v>
      </c>
      <c r="C331" s="57">
        <f t="shared" si="178"/>
        <v>1211111</v>
      </c>
      <c r="D331" s="58">
        <v>2</v>
      </c>
      <c r="E331" s="59" t="str">
        <f t="shared" si="179"/>
        <v>DEPENSES DE SERVICES ET CHARGES DIVERSES</v>
      </c>
      <c r="F331" s="60" t="e">
        <f>SUMIFS([49]mensuel_section_article1!$E$3:$E$962,[49]mensuel_section_article1!$B$3:$B$962,C331,[49]mensuel_section_article1!$C$3:$C$962,D331)</f>
        <v>#VALUE!</v>
      </c>
      <c r="G331" s="60" t="e">
        <f>SUMIFS([49]mensuel_section_article1!$G$3:$G$962,[49]mensuel_section_article1!$B$3:$B$962,C331,[49]mensuel_section_article1!$C$3:$C$962,D331)</f>
        <v>#VALUE!</v>
      </c>
      <c r="H331" s="60">
        <v>4171368.0239999997</v>
      </c>
      <c r="I331" s="60">
        <v>1746878</v>
      </c>
      <c r="J331" s="60">
        <v>832515</v>
      </c>
      <c r="K331" s="60">
        <f t="shared" si="180"/>
        <v>3338853.0239999997</v>
      </c>
      <c r="L331" s="61">
        <f t="shared" si="177"/>
        <v>0.19957841053824985</v>
      </c>
      <c r="M331" s="60"/>
      <c r="N331" s="24"/>
      <c r="O331" s="9"/>
      <c r="Q331" s="63"/>
      <c r="AK331" s="64"/>
      <c r="AL331" s="64"/>
      <c r="AM331" s="64"/>
      <c r="AN331" s="64"/>
      <c r="AO331" s="11">
        <v>1211111</v>
      </c>
      <c r="AP331" s="65" t="str">
        <f t="shared" si="181"/>
        <v>12111112</v>
      </c>
    </row>
    <row r="332" spans="1:42" s="62" customFormat="1" ht="27.75" customHeight="1" thickTop="1" thickBot="1" x14ac:dyDescent="0.3">
      <c r="A332" s="56" t="s">
        <v>22</v>
      </c>
      <c r="B332" s="56" t="s">
        <v>22</v>
      </c>
      <c r="C332" s="57">
        <f t="shared" si="178"/>
        <v>1211111</v>
      </c>
      <c r="D332" s="58">
        <v>3</v>
      </c>
      <c r="E332" s="59" t="str">
        <f t="shared" si="179"/>
        <v>ACHATS DE BIENS DE CONSOMMATION ET PETITS MATERIELS</v>
      </c>
      <c r="F332" s="60" t="e">
        <f>SUMIFS([49]mensuel_section_article1!$E$3:$E$962,[49]mensuel_section_article1!$B$3:$B$962,C332,[49]mensuel_section_article1!$C$3:$C$962,D332)</f>
        <v>#VALUE!</v>
      </c>
      <c r="G332" s="60" t="e">
        <f>SUMIFS([49]mensuel_section_article1!$G$3:$G$962,[49]mensuel_section_article1!$B$3:$B$962,C332,[49]mensuel_section_article1!$C$3:$C$962,D332)</f>
        <v>#VALUE!</v>
      </c>
      <c r="H332" s="60">
        <v>2116800</v>
      </c>
      <c r="I332" s="60">
        <v>3853590</v>
      </c>
      <c r="J332" s="60">
        <v>3768110</v>
      </c>
      <c r="K332" s="60">
        <f t="shared" si="180"/>
        <v>-1651310</v>
      </c>
      <c r="L332" s="61">
        <f t="shared" si="177"/>
        <v>1.7800973167044596</v>
      </c>
      <c r="M332" s="60"/>
      <c r="N332" s="24"/>
      <c r="O332" s="9"/>
      <c r="Q332" s="63"/>
      <c r="AK332" s="64"/>
      <c r="AL332" s="64"/>
      <c r="AM332" s="64"/>
      <c r="AN332" s="64"/>
      <c r="AO332" s="11">
        <v>1211111</v>
      </c>
      <c r="AP332" s="65" t="str">
        <f t="shared" si="181"/>
        <v>12111113</v>
      </c>
    </row>
    <row r="333" spans="1:42" s="62" customFormat="1" ht="27.75" customHeight="1" thickTop="1" thickBot="1" x14ac:dyDescent="0.3">
      <c r="A333" s="56" t="s">
        <v>22</v>
      </c>
      <c r="B333" s="56" t="s">
        <v>22</v>
      </c>
      <c r="C333" s="57">
        <f t="shared" si="178"/>
        <v>1211111</v>
      </c>
      <c r="D333" s="58">
        <v>4</v>
      </c>
      <c r="E333" s="59" t="str">
        <f t="shared" si="179"/>
        <v>IMMOBILISATION CORPORELLE</v>
      </c>
      <c r="F333" s="60" t="e">
        <f>SUMIFS([49]mensuel_section_article1!$E$3:$E$962,[49]mensuel_section_article1!$B$3:$B$962,C333,[49]mensuel_section_article1!$C$3:$C$962,D333)</f>
        <v>#VALUE!</v>
      </c>
      <c r="G333" s="60" t="e">
        <f>SUMIFS([49]mensuel_section_article1!$G$3:$G$962,[49]mensuel_section_article1!$B$3:$B$962,C333,[49]mensuel_section_article1!$C$3:$C$962,D333)</f>
        <v>#VALUE!</v>
      </c>
      <c r="H333" s="60">
        <v>2403331.764</v>
      </c>
      <c r="I333" s="60">
        <v>2403331.8000000003</v>
      </c>
      <c r="J333" s="60">
        <v>0</v>
      </c>
      <c r="K333" s="60">
        <f t="shared" si="180"/>
        <v>2403331.764</v>
      </c>
      <c r="L333" s="61">
        <f t="shared" si="177"/>
        <v>0</v>
      </c>
      <c r="M333" s="60"/>
      <c r="N333" s="24"/>
      <c r="O333" s="9"/>
      <c r="Q333" s="63"/>
      <c r="AK333" s="64"/>
      <c r="AL333" s="64"/>
      <c r="AM333" s="64"/>
      <c r="AN333" s="64"/>
      <c r="AO333" s="11">
        <v>1211111</v>
      </c>
      <c r="AP333" s="65" t="str">
        <f t="shared" si="181"/>
        <v>12111114</v>
      </c>
    </row>
    <row r="334" spans="1:42" s="62" customFormat="1" ht="27.75" hidden="1" customHeight="1" thickTop="1" thickBot="1" x14ac:dyDescent="0.3">
      <c r="A334" s="56" t="s">
        <v>22</v>
      </c>
      <c r="B334" s="56" t="s">
        <v>22</v>
      </c>
      <c r="C334" s="57">
        <f t="shared" si="178"/>
        <v>1211111</v>
      </c>
      <c r="D334" s="58">
        <v>5</v>
      </c>
      <c r="E334" s="59" t="str">
        <f t="shared" si="179"/>
        <v>IMMOBILISATION INCORPORELLE</v>
      </c>
      <c r="F334" s="60" t="e">
        <f>SUMIFS([49]mensuel_section_article1!$E$3:$E$962,[49]mensuel_section_article1!$B$3:$B$962,C334,[49]mensuel_section_article1!$C$3:$C$962,D334)</f>
        <v>#VALUE!</v>
      </c>
      <c r="G334" s="60" t="e">
        <f>SUMIFS([49]mensuel_section_article1!$G$3:$G$962,[49]mensuel_section_article1!$B$3:$B$962,C334,[49]mensuel_section_article1!$C$3:$C$962,D334)</f>
        <v>#VALUE!</v>
      </c>
      <c r="H334" s="60">
        <v>0</v>
      </c>
      <c r="I334" s="60">
        <v>0</v>
      </c>
      <c r="J334" s="60">
        <v>0</v>
      </c>
      <c r="K334" s="60">
        <f t="shared" si="180"/>
        <v>0</v>
      </c>
      <c r="L334" s="61" t="e">
        <f>IF(F334&lt;&gt;0,K334/F334,0)</f>
        <v>#VALUE!</v>
      </c>
      <c r="M334" s="60" t="e">
        <f>+SUMIFS([51]section_article!$H$10:$H$936,[51]section_article!$C$10:$C$936,C334,[51]section_article!$D$10:$D$936,D334)</f>
        <v>#VALUE!</v>
      </c>
      <c r="N334" s="24" t="e">
        <f t="shared" ref="N330:N336" si="182">+J334-M334</f>
        <v>#VALUE!</v>
      </c>
      <c r="O334" s="9"/>
      <c r="Q334" s="63"/>
      <c r="AK334" s="64"/>
      <c r="AL334" s="64"/>
      <c r="AM334" s="64"/>
      <c r="AN334" s="64"/>
      <c r="AO334" s="11">
        <v>1211111</v>
      </c>
      <c r="AP334" s="65" t="str">
        <f t="shared" si="181"/>
        <v>12111115</v>
      </c>
    </row>
    <row r="335" spans="1:42" s="62" customFormat="1" ht="27.75" hidden="1" customHeight="1" thickTop="1" thickBot="1" x14ac:dyDescent="0.3">
      <c r="A335" s="56" t="s">
        <v>22</v>
      </c>
      <c r="B335" s="56" t="s">
        <v>22</v>
      </c>
      <c r="C335" s="57">
        <f t="shared" si="178"/>
        <v>1211111</v>
      </c>
      <c r="D335" s="58">
        <v>7</v>
      </c>
      <c r="E335" s="59" t="str">
        <f t="shared" si="179"/>
        <v>SUBVENTIONS,QUOTES-PARTS ET CONTRIB.,ALLOC, INDEMNISATIONS</v>
      </c>
      <c r="F335" s="60" t="e">
        <f>SUMIFS([49]mensuel_section_article1!$E$3:$E$962,[49]mensuel_section_article1!$B$3:$B$962,C335,[49]mensuel_section_article1!$C$3:$C$962,D335)</f>
        <v>#VALUE!</v>
      </c>
      <c r="G335" s="60" t="e">
        <f>SUMIFS([49]mensuel_section_article1!$G$3:$G$962,[49]mensuel_section_article1!$B$3:$B$962,C335,[49]mensuel_section_article1!$C$3:$C$962,D335)</f>
        <v>#VALUE!</v>
      </c>
      <c r="H335" s="60">
        <v>0</v>
      </c>
      <c r="I335" s="60">
        <v>0</v>
      </c>
      <c r="J335" s="60">
        <v>0</v>
      </c>
      <c r="K335" s="60">
        <f t="shared" si="180"/>
        <v>0</v>
      </c>
      <c r="L335" s="61" t="e">
        <f>IF(F335&lt;&gt;0,K335/F335,0)</f>
        <v>#VALUE!</v>
      </c>
      <c r="M335" s="60" t="e">
        <f>+SUMIFS([51]section_article!$H$10:$H$936,[51]section_article!$C$10:$C$936,C335,[51]section_article!$D$10:$D$936,D335)</f>
        <v>#VALUE!</v>
      </c>
      <c r="N335" s="24" t="e">
        <f t="shared" si="182"/>
        <v>#VALUE!</v>
      </c>
      <c r="O335" s="93">
        <v>0.02</v>
      </c>
      <c r="Q335" s="63"/>
      <c r="AK335" s="64"/>
      <c r="AL335" s="64"/>
      <c r="AM335" s="64"/>
      <c r="AN335" s="64"/>
      <c r="AO335" s="11">
        <v>1211111</v>
      </c>
      <c r="AP335" s="65" t="str">
        <f t="shared" si="181"/>
        <v>12111117</v>
      </c>
    </row>
    <row r="336" spans="1:42" s="62" customFormat="1" ht="27.75" customHeight="1" thickTop="1" thickBot="1" x14ac:dyDescent="0.3">
      <c r="A336" s="56" t="s">
        <v>22</v>
      </c>
      <c r="B336" s="56" t="s">
        <v>22</v>
      </c>
      <c r="C336" s="57">
        <f t="shared" si="178"/>
        <v>1211111</v>
      </c>
      <c r="D336" s="58">
        <v>9</v>
      </c>
      <c r="E336" s="59" t="str">
        <f t="shared" si="179"/>
        <v>AUTRES DEPENSES PUBLIQUES</v>
      </c>
      <c r="F336" s="60" t="e">
        <f>SUMIFS([49]mensuel_section_article1!$E$3:$E$962,[49]mensuel_section_article1!$B$3:$B$962,C336,[49]mensuel_section_article1!$C$3:$C$962,D336)</f>
        <v>#VALUE!</v>
      </c>
      <c r="G336" s="60" t="e">
        <f>SUMIFS([49]mensuel_section_article1!$G$3:$G$962,[49]mensuel_section_article1!$B$3:$B$962,C336,[49]mensuel_section_article1!$C$3:$C$962,D336)</f>
        <v>#VALUE!</v>
      </c>
      <c r="H336" s="60">
        <v>12749943.699999999</v>
      </c>
      <c r="I336" s="60">
        <v>12560643.699999999</v>
      </c>
      <c r="J336" s="60">
        <v>12560551.76</v>
      </c>
      <c r="K336" s="60">
        <f t="shared" si="180"/>
        <v>189391.93999999948</v>
      </c>
      <c r="L336" s="61">
        <f t="shared" ref="L336:L341" si="183">+J336/H336</f>
        <v>0.98514566460399355</v>
      </c>
      <c r="M336" s="60"/>
      <c r="N336" s="24"/>
      <c r="O336" s="9"/>
      <c r="Q336" s="63"/>
      <c r="AK336" s="64"/>
      <c r="AL336" s="64"/>
      <c r="AM336" s="64"/>
      <c r="AN336" s="64"/>
      <c r="AO336" s="11">
        <v>1211111</v>
      </c>
      <c r="AP336" s="65" t="str">
        <f t="shared" si="181"/>
        <v>12111119</v>
      </c>
    </row>
    <row r="337" spans="1:42" s="1" customFormat="1" ht="27.75" customHeight="1" thickTop="1" thickBot="1" x14ac:dyDescent="0.3">
      <c r="A337" s="50" t="s">
        <v>20</v>
      </c>
      <c r="B337" s="50" t="s">
        <v>20</v>
      </c>
      <c r="C337" s="50" t="s">
        <v>20</v>
      </c>
      <c r="D337" s="51">
        <v>1211112</v>
      </c>
      <c r="E337" s="67" t="s">
        <v>23</v>
      </c>
      <c r="F337" s="68" t="e">
        <f>SUMIF($B$338:$B$344,"article",F338:F344)</f>
        <v>#VALUE!</v>
      </c>
      <c r="G337" s="68" t="e">
        <f>SUMIF($B$338:$B$344,"article",G338:G344)</f>
        <v>#VALUE!</v>
      </c>
      <c r="H337" s="68">
        <f>SUMIF($B$338:$B$344,"article",H338:H344)</f>
        <v>1731211188.0740004</v>
      </c>
      <c r="I337" s="68">
        <v>1687240862.8099999</v>
      </c>
      <c r="J337" s="68">
        <f>SUMIF($B$338:$B$344,"article",J338:J344)</f>
        <v>1683810856.7</v>
      </c>
      <c r="K337" s="68">
        <f>SUMIF($B$338:$B$344,"article",K338:K344)</f>
        <v>47400331.374000311</v>
      </c>
      <c r="L337" s="69">
        <f t="shared" si="183"/>
        <v>0.97262013340686992</v>
      </c>
      <c r="M337" s="68"/>
      <c r="N337" s="68"/>
      <c r="O337" s="9"/>
      <c r="Q337" s="23"/>
      <c r="AK337" s="70"/>
      <c r="AL337" s="70"/>
      <c r="AM337" s="70"/>
      <c r="AN337" s="70"/>
      <c r="AO337" s="11">
        <v>1211112</v>
      </c>
    </row>
    <row r="338" spans="1:42" s="62" customFormat="1" ht="27.75" customHeight="1" thickTop="1" thickBot="1" x14ac:dyDescent="0.3">
      <c r="A338" s="56" t="s">
        <v>22</v>
      </c>
      <c r="B338" s="56" t="s">
        <v>22</v>
      </c>
      <c r="C338" s="57">
        <f t="shared" ref="C338:C344" si="184">IF(A337="SECTION",D337,C337)</f>
        <v>1211112</v>
      </c>
      <c r="D338" s="58">
        <v>1</v>
      </c>
      <c r="E338" s="59" t="str">
        <f t="shared" ref="E338:E344" si="185">IF(D338=1, "DEPENSES DE PERSONNEL",  +IF(D338=2,"DEPENSES DE SERVICES ET CHARGES DIVERSES", +IF(D338=3,"ACHATS DE BIENS DE CONSOMMATION ET PETITS MATERIELS",+IF(D338=4,"IMMOBILISATION CORPORELLE",+IF(D338=5,"IMMOBILISATION INCORPORELLE",+IF(D338=7,"SUBVENTIONS,QUOTES-PARTS ET CONTRIB.,ALLOC, INDEMNISATIONS",+IF(D338=8,"AMORTISSEMENT DE LA DETTE",+IF(D338=9,"AUTRES DEPENSES PUBLIQUES",0))))))))</f>
        <v>DEPENSES DE PERSONNEL</v>
      </c>
      <c r="F338" s="60" t="e">
        <f>SUMIFS([49]mensuel_section_article1!$E$3:$E$962,[49]mensuel_section_article1!$B$3:$B$962,C338,[49]mensuel_section_article1!$C$3:$C$962,D338)</f>
        <v>#VALUE!</v>
      </c>
      <c r="G338" s="60" t="e">
        <f>SUMIFS([49]mensuel_section_article1!$G$3:$G$962,[49]mensuel_section_article1!$B$3:$B$962,C338,[49]mensuel_section_article1!$C$3:$C$962,D338)</f>
        <v>#VALUE!</v>
      </c>
      <c r="H338" s="60">
        <v>1306859345.3300002</v>
      </c>
      <c r="I338" s="60">
        <v>1247011920.21</v>
      </c>
      <c r="J338" s="60">
        <v>1246309119.8699999</v>
      </c>
      <c r="K338" s="60">
        <f t="shared" ref="K338:K344" si="186">+H338-J338</f>
        <v>60550225.460000277</v>
      </c>
      <c r="L338" s="61">
        <f t="shared" si="183"/>
        <v>0.95366737386362688</v>
      </c>
      <c r="M338" s="60"/>
      <c r="N338" s="24"/>
      <c r="O338" s="9"/>
      <c r="Q338" s="63"/>
      <c r="AK338" s="64"/>
      <c r="AL338" s="64"/>
      <c r="AM338" s="64"/>
      <c r="AN338" s="64"/>
      <c r="AO338" s="11">
        <v>1211112</v>
      </c>
      <c r="AP338" s="65" t="str">
        <f t="shared" ref="AP338:AP344" si="187">CONCATENATE(AO338,D338)</f>
        <v>12111121</v>
      </c>
    </row>
    <row r="339" spans="1:42" s="62" customFormat="1" ht="27.75" customHeight="1" thickTop="1" thickBot="1" x14ac:dyDescent="0.3">
      <c r="A339" s="56" t="s">
        <v>22</v>
      </c>
      <c r="B339" s="56" t="s">
        <v>22</v>
      </c>
      <c r="C339" s="57">
        <f t="shared" si="184"/>
        <v>1211112</v>
      </c>
      <c r="D339" s="58">
        <v>2</v>
      </c>
      <c r="E339" s="59" t="str">
        <f t="shared" si="185"/>
        <v>DEPENSES DE SERVICES ET CHARGES DIVERSES</v>
      </c>
      <c r="F339" s="60" t="e">
        <f>SUMIFS([49]mensuel_section_article1!$E$3:$E$962,[49]mensuel_section_article1!$B$3:$B$962,C339,[49]mensuel_section_article1!$C$3:$C$962,D339)</f>
        <v>#VALUE!</v>
      </c>
      <c r="G339" s="60" t="e">
        <f>SUMIFS([49]mensuel_section_article1!$G$3:$G$962,[49]mensuel_section_article1!$B$3:$B$962,C339,[49]mensuel_section_article1!$C$3:$C$962,D339)</f>
        <v>#VALUE!</v>
      </c>
      <c r="H339" s="60">
        <v>80712308.032000005</v>
      </c>
      <c r="I339" s="60">
        <v>164313936.90000001</v>
      </c>
      <c r="J339" s="60">
        <v>162549221.61000001</v>
      </c>
      <c r="K339" s="60">
        <f t="shared" si="186"/>
        <v>-81836913.578000009</v>
      </c>
      <c r="L339" s="61">
        <f t="shared" si="183"/>
        <v>2.0139335074590377</v>
      </c>
      <c r="M339" s="60"/>
      <c r="N339" s="24"/>
      <c r="O339" s="9"/>
      <c r="Q339" s="63"/>
      <c r="AK339" s="64"/>
      <c r="AL339" s="64"/>
      <c r="AM339" s="64"/>
      <c r="AN339" s="64"/>
      <c r="AO339" s="11">
        <v>1211112</v>
      </c>
      <c r="AP339" s="65" t="str">
        <f t="shared" si="187"/>
        <v>12111122</v>
      </c>
    </row>
    <row r="340" spans="1:42" s="62" customFormat="1" ht="27.75" customHeight="1" thickTop="1" thickBot="1" x14ac:dyDescent="0.3">
      <c r="A340" s="56" t="s">
        <v>22</v>
      </c>
      <c r="B340" s="56" t="s">
        <v>22</v>
      </c>
      <c r="C340" s="57">
        <f t="shared" si="184"/>
        <v>1211112</v>
      </c>
      <c r="D340" s="58">
        <v>3</v>
      </c>
      <c r="E340" s="59" t="str">
        <f t="shared" si="185"/>
        <v>ACHATS DE BIENS DE CONSOMMATION ET PETITS MATERIELS</v>
      </c>
      <c r="F340" s="60" t="e">
        <f>SUMIFS([49]mensuel_section_article1!$E$3:$E$962,[49]mensuel_section_article1!$B$3:$B$962,C340,[49]mensuel_section_article1!$C$3:$C$962,D340)</f>
        <v>#VALUE!</v>
      </c>
      <c r="G340" s="60" t="e">
        <f>SUMIFS([49]mensuel_section_article1!$G$3:$G$962,[49]mensuel_section_article1!$B$3:$B$962,C340,[49]mensuel_section_article1!$C$3:$C$962,D340)</f>
        <v>#VALUE!</v>
      </c>
      <c r="H340" s="60">
        <v>84095103.542000011</v>
      </c>
      <c r="I340" s="60">
        <v>157409524.5</v>
      </c>
      <c r="J340" s="60">
        <v>157397290.69999999</v>
      </c>
      <c r="K340" s="60">
        <f t="shared" si="186"/>
        <v>-73302187.157999977</v>
      </c>
      <c r="L340" s="61">
        <f t="shared" si="183"/>
        <v>1.871658206846613</v>
      </c>
      <c r="M340" s="60"/>
      <c r="N340" s="24"/>
      <c r="O340" s="9"/>
      <c r="Q340" s="63"/>
      <c r="AK340" s="64"/>
      <c r="AL340" s="64"/>
      <c r="AM340" s="64"/>
      <c r="AN340" s="64"/>
      <c r="AO340" s="11">
        <v>1211112</v>
      </c>
      <c r="AP340" s="65" t="str">
        <f t="shared" si="187"/>
        <v>12111123</v>
      </c>
    </row>
    <row r="341" spans="1:42" s="62" customFormat="1" ht="27.75" customHeight="1" thickTop="1" thickBot="1" x14ac:dyDescent="0.3">
      <c r="A341" s="56" t="s">
        <v>22</v>
      </c>
      <c r="B341" s="56" t="s">
        <v>22</v>
      </c>
      <c r="C341" s="57">
        <f t="shared" si="184"/>
        <v>1211112</v>
      </c>
      <c r="D341" s="58">
        <v>4</v>
      </c>
      <c r="E341" s="59" t="str">
        <f t="shared" si="185"/>
        <v>IMMOBILISATION CORPORELLE</v>
      </c>
      <c r="F341" s="60" t="e">
        <f>SUMIFS([49]mensuel_section_article1!$E$3:$E$962,[49]mensuel_section_article1!$B$3:$B$962,C341,[49]mensuel_section_article1!$C$3:$C$962,D341)</f>
        <v>#VALUE!</v>
      </c>
      <c r="G341" s="60" t="e">
        <f>SUMIFS([49]mensuel_section_article1!$G$3:$G$962,[49]mensuel_section_article1!$B$3:$B$962,C341,[49]mensuel_section_article1!$C$3:$C$962,D341)</f>
        <v>#VALUE!</v>
      </c>
      <c r="H341" s="60">
        <v>34260060.560000002</v>
      </c>
      <c r="I341" s="60">
        <v>48320060.600000001</v>
      </c>
      <c r="J341" s="60">
        <v>48130224.520000003</v>
      </c>
      <c r="K341" s="60">
        <f t="shared" si="186"/>
        <v>-13870163.960000001</v>
      </c>
      <c r="L341" s="61">
        <f t="shared" si="183"/>
        <v>1.4048493707624665</v>
      </c>
      <c r="M341" s="60"/>
      <c r="N341" s="24"/>
      <c r="O341" s="9"/>
      <c r="Q341" s="63"/>
      <c r="AK341" s="64"/>
      <c r="AL341" s="64"/>
      <c r="AM341" s="64"/>
      <c r="AN341" s="64"/>
      <c r="AO341" s="11">
        <v>1211112</v>
      </c>
      <c r="AP341" s="65" t="str">
        <f t="shared" si="187"/>
        <v>12111124</v>
      </c>
    </row>
    <row r="342" spans="1:42" s="62" customFormat="1" ht="27.75" hidden="1" customHeight="1" thickTop="1" thickBot="1" x14ac:dyDescent="0.3">
      <c r="A342" s="56" t="s">
        <v>22</v>
      </c>
      <c r="B342" s="56" t="s">
        <v>22</v>
      </c>
      <c r="C342" s="57">
        <f t="shared" si="184"/>
        <v>1211112</v>
      </c>
      <c r="D342" s="58">
        <v>5</v>
      </c>
      <c r="E342" s="59" t="str">
        <f t="shared" si="185"/>
        <v>IMMOBILISATION INCORPORELLE</v>
      </c>
      <c r="F342" s="60" t="e">
        <f>SUMIFS([49]mensuel_section_article1!$E$3:$E$962,[49]mensuel_section_article1!$B$3:$B$962,C342,[49]mensuel_section_article1!$C$3:$C$962,D342)</f>
        <v>#VALUE!</v>
      </c>
      <c r="G342" s="60" t="e">
        <f>SUMIFS([49]mensuel_section_article1!$G$3:$G$962,[49]mensuel_section_article1!$B$3:$B$962,C342,[49]mensuel_section_article1!$C$3:$C$962,D342)</f>
        <v>#VALUE!</v>
      </c>
      <c r="H342" s="60">
        <v>0</v>
      </c>
      <c r="I342" s="60">
        <v>0</v>
      </c>
      <c r="J342" s="60">
        <v>0</v>
      </c>
      <c r="K342" s="60">
        <f t="shared" si="186"/>
        <v>0</v>
      </c>
      <c r="L342" s="61" t="e">
        <f>IF(F342&lt;&gt;0,K342/F342,0)</f>
        <v>#VALUE!</v>
      </c>
      <c r="M342" s="60" t="e">
        <f>+SUMIFS([51]section_article!$H$10:$H$936,[51]section_article!$C$10:$C$936,C342,[51]section_article!$D$10:$D$936,D342)</f>
        <v>#VALUE!</v>
      </c>
      <c r="N342" s="24" t="e">
        <f t="shared" ref="N338:N344" si="188">+J342-M342</f>
        <v>#VALUE!</v>
      </c>
      <c r="O342" s="9"/>
      <c r="Q342" s="63"/>
      <c r="AK342" s="64"/>
      <c r="AL342" s="64"/>
      <c r="AM342" s="64"/>
      <c r="AN342" s="64"/>
      <c r="AO342" s="11">
        <v>1211112</v>
      </c>
      <c r="AP342" s="65" t="str">
        <f t="shared" si="187"/>
        <v>12111125</v>
      </c>
    </row>
    <row r="343" spans="1:42" s="62" customFormat="1" ht="27.75" customHeight="1" thickTop="1" thickBot="1" x14ac:dyDescent="0.3">
      <c r="A343" s="56" t="s">
        <v>22</v>
      </c>
      <c r="B343" s="56" t="s">
        <v>22</v>
      </c>
      <c r="C343" s="57">
        <f t="shared" si="184"/>
        <v>1211112</v>
      </c>
      <c r="D343" s="58">
        <v>7</v>
      </c>
      <c r="E343" s="59" t="str">
        <f t="shared" si="185"/>
        <v>SUBVENTIONS,QUOTES-PARTS ET CONTRIB.,ALLOC, INDEMNISATIONS</v>
      </c>
      <c r="F343" s="60" t="e">
        <f>SUMIFS([49]mensuel_section_article1!$E$3:$E$962,[49]mensuel_section_article1!$B$3:$B$962,C343,[49]mensuel_section_article1!$C$3:$C$962,D343)</f>
        <v>#VALUE!</v>
      </c>
      <c r="G343" s="60" t="e">
        <f>SUMIFS([49]mensuel_section_article1!$G$3:$G$962,[49]mensuel_section_article1!$B$3:$B$962,C343,[49]mensuel_section_article1!$C$3:$C$962,D343)</f>
        <v>#VALUE!</v>
      </c>
      <c r="H343" s="60">
        <v>5000000</v>
      </c>
      <c r="I343" s="60">
        <v>5000000</v>
      </c>
      <c r="J343" s="60">
        <v>4425000</v>
      </c>
      <c r="K343" s="60">
        <f t="shared" si="186"/>
        <v>575000</v>
      </c>
      <c r="L343" s="61">
        <f>+J343/H343</f>
        <v>0.88500000000000001</v>
      </c>
      <c r="M343" s="60"/>
      <c r="N343" s="24"/>
      <c r="O343" s="9"/>
      <c r="Q343" s="63"/>
      <c r="AK343" s="64"/>
      <c r="AL343" s="64"/>
      <c r="AM343" s="64"/>
      <c r="AN343" s="64"/>
      <c r="AO343" s="11">
        <v>1211112</v>
      </c>
      <c r="AP343" s="65" t="str">
        <f t="shared" si="187"/>
        <v>12111127</v>
      </c>
    </row>
    <row r="344" spans="1:42" s="62" customFormat="1" ht="27.75" customHeight="1" thickTop="1" thickBot="1" x14ac:dyDescent="0.3">
      <c r="A344" s="56" t="s">
        <v>22</v>
      </c>
      <c r="B344" s="56" t="s">
        <v>22</v>
      </c>
      <c r="C344" s="57">
        <f t="shared" si="184"/>
        <v>1211112</v>
      </c>
      <c r="D344" s="58">
        <v>9</v>
      </c>
      <c r="E344" s="59" t="str">
        <f t="shared" si="185"/>
        <v>AUTRES DEPENSES PUBLIQUES</v>
      </c>
      <c r="F344" s="60" t="e">
        <f>SUMIFS([49]mensuel_section_article1!$E$3:$E$962,[49]mensuel_section_article1!$B$3:$B$962,C344,[49]mensuel_section_article1!$C$3:$C$962,D344)</f>
        <v>#VALUE!</v>
      </c>
      <c r="G344" s="60" t="e">
        <f>SUMIFS([49]mensuel_section_article1!$G$3:$G$962,[49]mensuel_section_article1!$B$3:$B$962,C344,[49]mensuel_section_article1!$C$3:$C$962,D344)</f>
        <v>#VALUE!</v>
      </c>
      <c r="H344" s="60">
        <v>220284370.61000001</v>
      </c>
      <c r="I344" s="60">
        <v>65185420.600000001</v>
      </c>
      <c r="J344" s="60">
        <v>65000000</v>
      </c>
      <c r="K344" s="60">
        <f t="shared" si="186"/>
        <v>155284370.61000001</v>
      </c>
      <c r="L344" s="61">
        <f>+J344/H344</f>
        <v>0.29507313578355732</v>
      </c>
      <c r="M344" s="60"/>
      <c r="N344" s="24"/>
      <c r="O344" s="9"/>
      <c r="Q344" s="63"/>
      <c r="AK344" s="64"/>
      <c r="AL344" s="64"/>
      <c r="AM344" s="64"/>
      <c r="AN344" s="64"/>
      <c r="AO344" s="11">
        <v>1211112</v>
      </c>
      <c r="AP344" s="65" t="str">
        <f t="shared" si="187"/>
        <v>12111129</v>
      </c>
    </row>
    <row r="345" spans="1:42" s="1" customFormat="1" ht="27.75" customHeight="1" thickTop="1" thickBot="1" x14ac:dyDescent="0.3">
      <c r="A345" s="50" t="s">
        <v>20</v>
      </c>
      <c r="B345" s="50" t="s">
        <v>20</v>
      </c>
      <c r="C345" s="50" t="s">
        <v>20</v>
      </c>
      <c r="D345" s="51">
        <v>1211117</v>
      </c>
      <c r="E345" s="67" t="s">
        <v>65</v>
      </c>
      <c r="F345" s="68" t="e">
        <f>SUMIF($B$346:$B$348,"article",F346:F348)</f>
        <v>#VALUE!</v>
      </c>
      <c r="G345" s="68" t="e">
        <f>SUMIF($B$346:$B$348,"article",G346:G348)</f>
        <v>#VALUE!</v>
      </c>
      <c r="H345" s="68">
        <f>SUMIF($B$346:$B$348,"article",H346:H348)</f>
        <v>65209420.780000001</v>
      </c>
      <c r="I345" s="68">
        <v>65209420.799999997</v>
      </c>
      <c r="J345" s="68">
        <f>SUMIF($B$346:$B$348,"article",J346:J348)</f>
        <v>61297493.459999993</v>
      </c>
      <c r="K345" s="68">
        <f>SUMIF($B$346:$B$348,"article",K346:K348)</f>
        <v>3911927.320000004</v>
      </c>
      <c r="L345" s="69">
        <f>+J345/H345</f>
        <v>0.94000978273986124</v>
      </c>
      <c r="M345" s="68"/>
      <c r="N345" s="68"/>
      <c r="O345" s="9"/>
      <c r="Q345" s="23"/>
      <c r="AK345" s="70"/>
      <c r="AL345" s="70"/>
      <c r="AM345" s="70"/>
      <c r="AN345" s="70"/>
      <c r="AO345" s="11">
        <v>1211117</v>
      </c>
    </row>
    <row r="346" spans="1:42" s="62" customFormat="1" ht="27.75" customHeight="1" thickTop="1" thickBot="1" x14ac:dyDescent="0.3">
      <c r="A346" s="56" t="s">
        <v>22</v>
      </c>
      <c r="B346" s="56" t="s">
        <v>22</v>
      </c>
      <c r="C346" s="57">
        <f>IF(A345="SECTION",D345,C345)</f>
        <v>1211117</v>
      </c>
      <c r="D346" s="58">
        <v>1</v>
      </c>
      <c r="E346" s="59" t="str">
        <f>IF(D346=1, "DEPENSES DE PERSONNEL",  +IF(D346=2,"DEPENSES DE SERVICES ET CHARGES DIVERSES", +IF(D346=3,"ACHATS DE BIENS DE CONSOMMATION ET PETITS MATERIELS",+IF(D346=4,"IMMOBILISATION CORPORELLE",+IF(D346=5,"IMMOBILISATION INCORPORELLE",+IF(D346=7,"SUBVENTIONS,QUOTES-PARTS ET CONTRIB.,ALLOC, INDEMNISATIONS",+IF(D346=8,"AMORTISSEMENT DE LA DETTE",+IF(D346=9,"AUTRES DEPENSES PUBLIQUES",0))))))))</f>
        <v>DEPENSES DE PERSONNEL</v>
      </c>
      <c r="F346" s="60" t="e">
        <f>SUMIFS([49]mensuel_section_article1!$E$3:$E$962,[49]mensuel_section_article1!$B$3:$B$962,C346,[49]mensuel_section_article1!$C$3:$C$962,D346)</f>
        <v>#VALUE!</v>
      </c>
      <c r="G346" s="60" t="e">
        <f>SUMIFS([49]mensuel_section_article1!$G$3:$G$962,[49]mensuel_section_article1!$B$3:$B$962,C346,[49]mensuel_section_article1!$C$3:$C$962,D346)</f>
        <v>#VALUE!</v>
      </c>
      <c r="H346" s="60">
        <v>47500007.649999999</v>
      </c>
      <c r="I346" s="60">
        <v>47500007.699999996</v>
      </c>
      <c r="J346" s="60">
        <v>47384504.229999997</v>
      </c>
      <c r="K346" s="60">
        <f t="shared" ref="K346:K348" si="189">+H346-J346</f>
        <v>115503.42000000179</v>
      </c>
      <c r="L346" s="61">
        <f>+J346/H346</f>
        <v>0.99756834944425521</v>
      </c>
      <c r="M346" s="60"/>
      <c r="N346" s="24"/>
      <c r="O346" s="9"/>
      <c r="Q346" s="63"/>
      <c r="AK346" s="64"/>
      <c r="AL346" s="64"/>
      <c r="AM346" s="64"/>
      <c r="AN346" s="64"/>
      <c r="AO346" s="11">
        <v>1211117</v>
      </c>
      <c r="AP346" s="65" t="str">
        <f>CONCATENATE(AO346,D346)</f>
        <v>12111171</v>
      </c>
    </row>
    <row r="347" spans="1:42" s="62" customFormat="1" ht="27.75" customHeight="1" thickTop="1" thickBot="1" x14ac:dyDescent="0.3">
      <c r="A347" s="56" t="s">
        <v>22</v>
      </c>
      <c r="B347" s="56" t="s">
        <v>22</v>
      </c>
      <c r="C347" s="57">
        <f>IF(A345="SECTION",D345,C345)</f>
        <v>1211117</v>
      </c>
      <c r="D347" s="58">
        <v>2</v>
      </c>
      <c r="E347" s="59" t="str">
        <f>IF(D347=1, "DEPENSES DE PERSONNEL",  +IF(D347=2,"DEPENSES DE SERVICES ET CHARGES DIVERSES", +IF(D347=3,"ACHATS DE BIENS DE CONSOMMATION ET PETITS MATERIELS",+IF(D347=4,"IMMOBILISATION CORPORELLE",+IF(D347=5,"IMMOBILISATION INCORPORELLE",+IF(D347=7,"SUBVENTIONS,QUOTES-PARTS ET CONTRIB.,ALLOC, INDEMNISATIONS",+IF(D347=8,"AMORTISSEMENT DE LA DETTE",+IF(D347=9,"AUTRES DEPENSES PUBLIQUES",0))))))))</f>
        <v>DEPENSES DE SERVICES ET CHARGES DIVERSES</v>
      </c>
      <c r="F347" s="60" t="e">
        <f>SUMIFS([49]mensuel_section_article1!$E$3:$E$962,[49]mensuel_section_article1!$B$3:$B$962,C347,[49]mensuel_section_article1!$C$3:$C$962,D347)</f>
        <v>#VALUE!</v>
      </c>
      <c r="G347" s="60" t="e">
        <f>SUMIFS([49]mensuel_section_article1!$G$3:$G$962,[49]mensuel_section_article1!$B$3:$B$962,C347,[49]mensuel_section_article1!$C$3:$C$962,D347)</f>
        <v>#VALUE!</v>
      </c>
      <c r="H347" s="60">
        <v>17709413.130000003</v>
      </c>
      <c r="I347" s="60">
        <v>17709413.100000001</v>
      </c>
      <c r="J347" s="60">
        <v>13912989.23</v>
      </c>
      <c r="K347" s="60">
        <f t="shared" si="189"/>
        <v>3796423.9000000022</v>
      </c>
      <c r="L347" s="61">
        <f>+J347/H347</f>
        <v>0.78562678095928518</v>
      </c>
      <c r="M347" s="60"/>
      <c r="N347" s="24"/>
      <c r="O347" s="9"/>
      <c r="Q347" s="63"/>
      <c r="AK347" s="64"/>
      <c r="AL347" s="64"/>
      <c r="AM347" s="64"/>
      <c r="AN347" s="64"/>
      <c r="AO347" s="11">
        <v>1211117</v>
      </c>
      <c r="AP347" s="65" t="str">
        <f>CONCATENATE(AO347,D347)</f>
        <v>12111172</v>
      </c>
    </row>
    <row r="348" spans="1:42" s="62" customFormat="1" ht="27.75" hidden="1" customHeight="1" thickTop="1" thickBot="1" x14ac:dyDescent="0.3">
      <c r="A348" s="56" t="s">
        <v>22</v>
      </c>
      <c r="B348" s="56" t="s">
        <v>22</v>
      </c>
      <c r="C348" s="57">
        <f>IF(A346="SECTION",D346,C346)</f>
        <v>1211117</v>
      </c>
      <c r="D348" s="58">
        <v>7</v>
      </c>
      <c r="E348" s="59" t="str">
        <f>IF(D348=1, "DEPENSES DE PERSONNEL",  +IF(D348=2,"DEPENSES DE SERVICES ET CHARGES DIVERSES", +IF(D348=3,"ACHATS DE BIENS DE CONSOMMATION ET PETITS MATERIELS",+IF(D348=4,"IMMOBILISATION CORPORELLE",+IF(D348=5,"IMMOBILISATION INCORPORELLE",+IF(D348=7,"SUBVENTIONS,QUOTES-PARTS ET CONTRIB.,ALLOC, INDEMNISATIONS",+IF(D348=8,"AMORTISSEMENT DE LA DETTE",+IF(D348=9,"AUTRES DEPENSES PUBLIQUES",0))))))))</f>
        <v>SUBVENTIONS,QUOTES-PARTS ET CONTRIB.,ALLOC, INDEMNISATIONS</v>
      </c>
      <c r="F348" s="60" t="e">
        <f>SUMIFS([49]mensuel_section_article1!$E$3:$E$962,[49]mensuel_section_article1!$B$3:$B$962,C348,[49]mensuel_section_article1!$C$3:$C$962,D348)</f>
        <v>#VALUE!</v>
      </c>
      <c r="G348" s="60" t="e">
        <f>SUMIFS([49]mensuel_section_article1!$G$3:$G$962,[49]mensuel_section_article1!$B$3:$B$962,C348,[49]mensuel_section_article1!$C$3:$C$962,D348)</f>
        <v>#VALUE!</v>
      </c>
      <c r="H348" s="60">
        <v>0</v>
      </c>
      <c r="I348" s="60">
        <v>0</v>
      </c>
      <c r="J348" s="60">
        <v>0</v>
      </c>
      <c r="K348" s="60">
        <f t="shared" si="189"/>
        <v>0</v>
      </c>
      <c r="L348" s="61" t="e">
        <f>IF(F348&lt;&gt;0,K348/F348,0)</f>
        <v>#VALUE!</v>
      </c>
      <c r="M348" s="60" t="e">
        <f>+SUMIFS([51]section_article!$H$10:$H$936,[51]section_article!$C$10:$C$936,C348,[51]section_article!$D$10:$D$936,D348)</f>
        <v>#VALUE!</v>
      </c>
      <c r="N348" s="24" t="e">
        <f>+J348-M348</f>
        <v>#VALUE!</v>
      </c>
      <c r="O348" s="9"/>
      <c r="Q348" s="63"/>
      <c r="AK348" s="64"/>
      <c r="AL348" s="64"/>
      <c r="AM348" s="64"/>
      <c r="AN348" s="64"/>
      <c r="AO348" s="11">
        <v>1211117</v>
      </c>
      <c r="AP348" s="65" t="str">
        <f>CONCATENATE(AO348,D348)</f>
        <v>12111177</v>
      </c>
    </row>
    <row r="349" spans="1:42" s="1" customFormat="1" ht="27.75" customHeight="1" thickTop="1" thickBot="1" x14ac:dyDescent="0.3">
      <c r="A349" s="50" t="s">
        <v>20</v>
      </c>
      <c r="B349" s="50" t="s">
        <v>20</v>
      </c>
      <c r="C349" s="50" t="s">
        <v>20</v>
      </c>
      <c r="D349" s="51">
        <v>1211118</v>
      </c>
      <c r="E349" s="67" t="s">
        <v>66</v>
      </c>
      <c r="F349" s="68" t="e">
        <f>SUMIF($B$350:$B$351,"article",F350:F351)</f>
        <v>#VALUE!</v>
      </c>
      <c r="G349" s="68" t="e">
        <f>SUMIF($B$350:$B$351,"article",G350:G351)</f>
        <v>#VALUE!</v>
      </c>
      <c r="H349" s="68">
        <f>SUMIF($B$350:$B$351,"article",H350:H351)</f>
        <v>114496257.30399999</v>
      </c>
      <c r="I349" s="68">
        <v>105496157.3</v>
      </c>
      <c r="J349" s="68">
        <f>SUMIF($B$350:$B$351,"article",J350:J351)</f>
        <v>105493681.42999999</v>
      </c>
      <c r="K349" s="68">
        <f>SUMIF($B$350:$B$351,"article",K350:K351)</f>
        <v>9002575.8740000054</v>
      </c>
      <c r="L349" s="69">
        <f t="shared" ref="L349:L354" si="190">+J349/H349</f>
        <v>0.92137231306961254</v>
      </c>
      <c r="M349" s="68"/>
      <c r="N349" s="68"/>
      <c r="O349" s="9"/>
      <c r="Q349" s="23"/>
      <c r="AK349" s="70"/>
      <c r="AL349" s="70"/>
      <c r="AM349" s="70"/>
      <c r="AN349" s="70"/>
      <c r="AO349" s="11">
        <v>1211118</v>
      </c>
    </row>
    <row r="350" spans="1:42" s="62" customFormat="1" ht="27.75" customHeight="1" thickTop="1" thickBot="1" x14ac:dyDescent="0.3">
      <c r="A350" s="56" t="s">
        <v>22</v>
      </c>
      <c r="B350" s="56" t="s">
        <v>22</v>
      </c>
      <c r="C350" s="57">
        <f>IF(A349="SECTION",D349,C349)</f>
        <v>1211118</v>
      </c>
      <c r="D350" s="58">
        <v>1</v>
      </c>
      <c r="E350" s="59" t="str">
        <f>IF(D350=1, "DEPENSES DE PERSONNEL",  +IF(D350=2,"DEPENSES DE SERVICES ET CHARGES DIVERSES", +IF(D350=3,"ACHATS DE BIENS DE CONSOMMATION ET PETITS MATERIELS",+IF(D350=4,"IMMOBILISATION CORPORELLE",+IF(D350=5,"IMMOBILISATION INCORPORELLE",+IF(D350=7,"SUBVENTIONS,QUOTES-PARTS ET CONTRIB.,ALLOC, INDEMNISATIONS",+IF(D350=8,"AMORTISSEMENT DE LA DETTE",+IF(D350=9,"AUTRES DEPENSES PUBLIQUES",0))))))))</f>
        <v>DEPENSES DE PERSONNEL</v>
      </c>
      <c r="F350" s="60" t="e">
        <f>SUMIFS([49]mensuel_section_article1!$E$3:$E$962,[49]mensuel_section_article1!$B$3:$B$962,C350,[49]mensuel_section_article1!$C$3:$C$962,D350)</f>
        <v>#VALUE!</v>
      </c>
      <c r="G350" s="60" t="e">
        <f>SUMIFS([49]mensuel_section_article1!$G$3:$G$962,[49]mensuel_section_article1!$B$3:$B$962,C350,[49]mensuel_section_article1!$C$3:$C$962,D350)</f>
        <v>#VALUE!</v>
      </c>
      <c r="H350" s="60">
        <v>33914402.039999999</v>
      </c>
      <c r="I350" s="60">
        <v>39914402</v>
      </c>
      <c r="J350" s="60">
        <v>39913376.659999996</v>
      </c>
      <c r="K350" s="60">
        <f t="shared" ref="K350:K351" si="191">+H350-J350</f>
        <v>-5998974.6199999973</v>
      </c>
      <c r="L350" s="61">
        <f t="shared" si="190"/>
        <v>1.1768857552884042</v>
      </c>
      <c r="M350" s="60"/>
      <c r="N350" s="24"/>
      <c r="O350" s="9"/>
      <c r="Q350" s="63"/>
      <c r="AK350" s="64"/>
      <c r="AL350" s="64"/>
      <c r="AM350" s="64"/>
      <c r="AN350" s="64"/>
      <c r="AO350" s="11">
        <v>1211118</v>
      </c>
      <c r="AP350" s="65" t="str">
        <f>CONCATENATE(AO350,D350)</f>
        <v>12111181</v>
      </c>
    </row>
    <row r="351" spans="1:42" s="62" customFormat="1" ht="27.75" customHeight="1" thickTop="1" thickBot="1" x14ac:dyDescent="0.3">
      <c r="A351" s="56" t="s">
        <v>22</v>
      </c>
      <c r="B351" s="56" t="s">
        <v>22</v>
      </c>
      <c r="C351" s="57">
        <f>IF(A350="SECTION",D350,C350)</f>
        <v>1211118</v>
      </c>
      <c r="D351" s="58">
        <v>9</v>
      </c>
      <c r="E351" s="59" t="str">
        <f>IF(D351=1, "DEPENSES DE PERSONNEL",  +IF(D351=2,"DEPENSES DE SERVICES ET CHARGES DIVERSES", +IF(D351=3,"ACHATS DE BIENS DE CONSOMMATION ET PETITS MATERIELS",+IF(D351=4,"IMMOBILISATION CORPORELLE",+IF(D351=5,"IMMOBILISATION INCORPORELLE",+IF(D351=7,"SUBVENTIONS,QUOTES-PARTS ET CONTRIB.,ALLOC, INDEMNISATIONS",+IF(D351=8,"AMORTISSEMENT DE LA DETTE",+IF(D351=9,"AUTRES DEPENSES PUBLIQUES",0))))))))</f>
        <v>AUTRES DEPENSES PUBLIQUES</v>
      </c>
      <c r="F351" s="60" t="e">
        <f>SUMIFS([49]mensuel_section_article1!$E$3:$E$962,[49]mensuel_section_article1!$B$3:$B$962,C351,[49]mensuel_section_article1!$C$3:$C$962,D351)</f>
        <v>#VALUE!</v>
      </c>
      <c r="G351" s="60" t="e">
        <f>SUMIFS([49]mensuel_section_article1!$G$3:$G$962,[49]mensuel_section_article1!$B$3:$B$962,C351,[49]mensuel_section_article1!$C$3:$C$962,D351)</f>
        <v>#VALUE!</v>
      </c>
      <c r="H351" s="60">
        <v>80581855.263999999</v>
      </c>
      <c r="I351" s="60">
        <v>65581755.299999997</v>
      </c>
      <c r="J351" s="60">
        <v>65580304.769999996</v>
      </c>
      <c r="K351" s="60">
        <f t="shared" si="191"/>
        <v>15001550.494000003</v>
      </c>
      <c r="L351" s="61">
        <f t="shared" si="190"/>
        <v>0.81383463504467168</v>
      </c>
      <c r="M351" s="60"/>
      <c r="N351" s="24"/>
      <c r="O351" s="9"/>
      <c r="Q351" s="63"/>
      <c r="AK351" s="64"/>
      <c r="AL351" s="64"/>
      <c r="AM351" s="64"/>
      <c r="AN351" s="64"/>
      <c r="AO351" s="11">
        <v>1211118</v>
      </c>
      <c r="AP351" s="65" t="str">
        <f>CONCATENATE(AO351,D351)</f>
        <v>12111189</v>
      </c>
    </row>
    <row r="352" spans="1:42" s="1" customFormat="1" ht="27.75" customHeight="1" thickTop="1" thickBot="1" x14ac:dyDescent="0.3">
      <c r="A352" s="50" t="s">
        <v>20</v>
      </c>
      <c r="B352" s="50" t="s">
        <v>20</v>
      </c>
      <c r="C352" s="50" t="s">
        <v>20</v>
      </c>
      <c r="D352" s="51">
        <v>1211119</v>
      </c>
      <c r="E352" s="67" t="s">
        <v>67</v>
      </c>
      <c r="F352" s="68" t="e">
        <f>SUMIF($B$353:$B$355,"article",F353:F355)</f>
        <v>#VALUE!</v>
      </c>
      <c r="G352" s="68" t="e">
        <f>SUMIF($B$353:$B$355,"article",G353:G355)</f>
        <v>#VALUE!</v>
      </c>
      <c r="H352" s="68">
        <f>SUMIF($B$353:$B$355,"article",H353:H355)</f>
        <v>182099995.13999999</v>
      </c>
      <c r="I352" s="68">
        <v>182099995.09999999</v>
      </c>
      <c r="J352" s="68">
        <f>SUMIF($B$353:$B$355,"article",J353:J355)</f>
        <v>182099689.91</v>
      </c>
      <c r="K352" s="68">
        <f>SUMIF($B$353:$B$355,"article",K353:K355)</f>
        <v>305.22999998927116</v>
      </c>
      <c r="L352" s="69">
        <f t="shared" si="190"/>
        <v>0.99999832383301412</v>
      </c>
      <c r="M352" s="68"/>
      <c r="N352" s="68"/>
      <c r="O352" s="9"/>
      <c r="Q352" s="23"/>
      <c r="AK352" s="70"/>
      <c r="AL352" s="70"/>
      <c r="AM352" s="70"/>
      <c r="AN352" s="70"/>
      <c r="AO352" s="11">
        <v>1211119</v>
      </c>
    </row>
    <row r="353" spans="1:42" s="62" customFormat="1" ht="27.75" customHeight="1" thickTop="1" thickBot="1" x14ac:dyDescent="0.3">
      <c r="A353" s="56" t="s">
        <v>22</v>
      </c>
      <c r="B353" s="56" t="s">
        <v>22</v>
      </c>
      <c r="C353" s="57">
        <f>IF(A352="SECTION",D352,C352)</f>
        <v>1211119</v>
      </c>
      <c r="D353" s="58">
        <v>1</v>
      </c>
      <c r="E353" s="59" t="str">
        <f>IF(D353=1, "DEPENSES DE PERSONNEL",  +IF(D353=2,"DEPENSES DE SERVICES ET CHARGES DIVERSES", +IF(D353=3,"ACHATS DE BIENS DE CONSOMMATION ET PETITS MATERIELS",+IF(D353=4,"IMMOBILISATION CORPORELLE",+IF(D353=5,"IMMOBILISATION INCORPORELLE",+IF(D353=7,"SUBVENTIONS,QUOTES-PARTS ET CONTRIB.,ALLOC, INDEMNISATIONS",+IF(D353=8,"AMORTISSEMENT DE LA DETTE",+IF(D353=9,"AUTRES DEPENSES PUBLIQUES",0))))))))</f>
        <v>DEPENSES DE PERSONNEL</v>
      </c>
      <c r="F353" s="60" t="e">
        <f>SUMIFS([49]mensuel_section_article1!$E$3:$E$962,[49]mensuel_section_article1!$B$3:$B$962,C353,[49]mensuel_section_article1!$C$3:$C$962,D353)</f>
        <v>#VALUE!</v>
      </c>
      <c r="G353" s="60" t="e">
        <f>SUMIFS([49]mensuel_section_article1!$G$3:$G$962,[49]mensuel_section_article1!$B$3:$B$962,C353,[49]mensuel_section_article1!$C$3:$C$962,D353)</f>
        <v>#VALUE!</v>
      </c>
      <c r="H353" s="60">
        <v>142195116.03999999</v>
      </c>
      <c r="I353" s="60">
        <v>142195116</v>
      </c>
      <c r="J353" s="60">
        <v>142195097</v>
      </c>
      <c r="K353" s="60">
        <f t="shared" ref="K353:K355" si="192">+H353-J353</f>
        <v>19.03999999165535</v>
      </c>
      <c r="L353" s="61">
        <f t="shared" si="190"/>
        <v>0.99999986609947988</v>
      </c>
      <c r="M353" s="60"/>
      <c r="N353" s="24"/>
      <c r="O353" s="64"/>
      <c r="P353" s="64"/>
      <c r="Q353" s="64"/>
      <c r="R353" s="64"/>
      <c r="S353" s="64"/>
      <c r="T353" s="64"/>
      <c r="U353" s="64"/>
      <c r="V353" s="64"/>
      <c r="W353" s="64">
        <f t="shared" ref="R353:AJ353" si="193">SUM(W351:W352)</f>
        <v>0</v>
      </c>
      <c r="X353" s="64">
        <f t="shared" si="193"/>
        <v>0</v>
      </c>
      <c r="Y353" s="64">
        <f t="shared" si="193"/>
        <v>0</v>
      </c>
      <c r="Z353" s="64">
        <f t="shared" si="193"/>
        <v>0</v>
      </c>
      <c r="AA353" s="64">
        <f t="shared" si="193"/>
        <v>0</v>
      </c>
      <c r="AB353" s="64">
        <f t="shared" si="193"/>
        <v>0</v>
      </c>
      <c r="AC353" s="64">
        <f>SUM(AG351:AG352)</f>
        <v>0</v>
      </c>
      <c r="AD353" s="64">
        <f t="shared" si="193"/>
        <v>0</v>
      </c>
      <c r="AE353" s="64">
        <f t="shared" si="193"/>
        <v>0</v>
      </c>
      <c r="AF353" s="64">
        <f t="shared" si="193"/>
        <v>0</v>
      </c>
      <c r="AG353" s="64">
        <f t="shared" si="193"/>
        <v>0</v>
      </c>
      <c r="AH353" s="64">
        <f t="shared" si="193"/>
        <v>0</v>
      </c>
      <c r="AI353" s="64">
        <f t="shared" si="193"/>
        <v>0</v>
      </c>
      <c r="AJ353" s="64">
        <f t="shared" si="193"/>
        <v>0</v>
      </c>
      <c r="AK353" s="64"/>
      <c r="AL353" s="64"/>
      <c r="AM353" s="64"/>
      <c r="AN353" s="64">
        <f>SUM(AN351:AN352)</f>
        <v>0</v>
      </c>
      <c r="AO353" s="11">
        <v>1211119</v>
      </c>
      <c r="AP353" s="65" t="str">
        <f>CONCATENATE(AO353,D353)</f>
        <v>12111191</v>
      </c>
    </row>
    <row r="354" spans="1:42" s="62" customFormat="1" ht="27.75" customHeight="1" thickTop="1" thickBot="1" x14ac:dyDescent="0.3">
      <c r="A354" s="56" t="s">
        <v>22</v>
      </c>
      <c r="B354" s="56" t="s">
        <v>22</v>
      </c>
      <c r="C354" s="57">
        <f>IF(A352="SECTION",D352,C352)</f>
        <v>1211119</v>
      </c>
      <c r="D354" s="58">
        <v>2</v>
      </c>
      <c r="E354" s="59" t="str">
        <f>IF(D354=1, "DEPENSES DE PERSONNEL",  +IF(D354=2,"DEPENSES DE SERVICES ET CHARGES DIVERSES", +IF(D354=3,"ACHATS DE BIENS DE CONSOMMATION ET PETITS MATERIELS",+IF(D354=4,"IMMOBILISATION CORPORELLE",+IF(D354=5,"IMMOBILISATION INCORPORELLE",+IF(D354=7,"SUBVENTIONS,QUOTES-PARTS ET CONTRIB.,ALLOC, INDEMNISATIONS",+IF(D354=8,"AMORTISSEMENT DE LA DETTE",+IF(D354=9,"AUTRES DEPENSES PUBLIQUES",0))))))))</f>
        <v>DEPENSES DE SERVICES ET CHARGES DIVERSES</v>
      </c>
      <c r="F354" s="60" t="e">
        <f>SUMIFS([49]mensuel_section_article1!$E$3:$E$962,[49]mensuel_section_article1!$B$3:$B$962,C354,[49]mensuel_section_article1!$C$3:$C$962,D354)</f>
        <v>#VALUE!</v>
      </c>
      <c r="G354" s="60" t="e">
        <f>SUMIFS([49]mensuel_section_article1!$G$3:$G$962,[49]mensuel_section_article1!$B$3:$B$962,C354,[49]mensuel_section_article1!$C$3:$C$962,D354)</f>
        <v>#VALUE!</v>
      </c>
      <c r="H354" s="60">
        <v>39904879.100000001</v>
      </c>
      <c r="I354" s="60">
        <v>39904879.100000001</v>
      </c>
      <c r="J354" s="60">
        <v>39904592.910000004</v>
      </c>
      <c r="K354" s="60">
        <f t="shared" si="192"/>
        <v>286.18999999761581</v>
      </c>
      <c r="L354" s="61">
        <f t="shared" si="190"/>
        <v>0.99999282819528712</v>
      </c>
      <c r="M354" s="60"/>
      <c r="N354" s="24"/>
      <c r="O354" s="64"/>
      <c r="P354" s="64"/>
      <c r="Q354" s="64"/>
      <c r="R354" s="64"/>
      <c r="S354" s="64"/>
      <c r="T354" s="64"/>
      <c r="U354" s="64"/>
      <c r="V354" s="64"/>
      <c r="W354" s="64">
        <f t="shared" ref="R354:AJ355" si="194">SUM(W352:W352)</f>
        <v>0</v>
      </c>
      <c r="X354" s="64">
        <f t="shared" si="194"/>
        <v>0</v>
      </c>
      <c r="Y354" s="64">
        <f t="shared" si="194"/>
        <v>0</v>
      </c>
      <c r="Z354" s="64">
        <f t="shared" si="194"/>
        <v>0</v>
      </c>
      <c r="AA354" s="64">
        <f t="shared" si="194"/>
        <v>0</v>
      </c>
      <c r="AB354" s="64">
        <f t="shared" si="194"/>
        <v>0</v>
      </c>
      <c r="AC354" s="64">
        <f>SUM(AG352:AG352)</f>
        <v>0</v>
      </c>
      <c r="AD354" s="64">
        <f t="shared" si="194"/>
        <v>0</v>
      </c>
      <c r="AE354" s="64">
        <f t="shared" si="194"/>
        <v>0</v>
      </c>
      <c r="AF354" s="64">
        <f t="shared" si="194"/>
        <v>0</v>
      </c>
      <c r="AG354" s="64">
        <f t="shared" si="194"/>
        <v>0</v>
      </c>
      <c r="AH354" s="64">
        <f t="shared" si="194"/>
        <v>0</v>
      </c>
      <c r="AI354" s="64">
        <f t="shared" si="194"/>
        <v>0</v>
      </c>
      <c r="AJ354" s="64">
        <f t="shared" si="194"/>
        <v>0</v>
      </c>
      <c r="AK354" s="64"/>
      <c r="AL354" s="64"/>
      <c r="AM354" s="64"/>
      <c r="AN354" s="64">
        <f>SUM(AN352:AN352)</f>
        <v>0</v>
      </c>
      <c r="AO354" s="11">
        <v>1211119</v>
      </c>
      <c r="AP354" s="65" t="str">
        <f>CONCATENATE(AO354,D354)</f>
        <v>12111192</v>
      </c>
    </row>
    <row r="355" spans="1:42" s="62" customFormat="1" ht="27.75" hidden="1" customHeight="1" thickTop="1" thickBot="1" x14ac:dyDescent="0.3">
      <c r="A355" s="56" t="s">
        <v>22</v>
      </c>
      <c r="B355" s="56" t="s">
        <v>22</v>
      </c>
      <c r="C355" s="57">
        <f>IF(A353="SECTION",D353,C353)</f>
        <v>1211119</v>
      </c>
      <c r="D355" s="58">
        <v>7</v>
      </c>
      <c r="E355" s="59" t="str">
        <f>IF(D355=1, "DEPENSES DE PERSONNEL",  +IF(D355=2,"DEPENSES DE SERVICES ET CHARGES DIVERSES", +IF(D355=3,"ACHATS DE BIENS DE CONSOMMATION ET PETITS MATERIELS",+IF(D355=4,"IMMOBILISATION CORPORELLE",+IF(D355=5,"IMMOBILISATION INCORPORELLE",+IF(D355=7,"SUBVENTIONS,QUOTES-PARTS ET CONTRIB.,ALLOC, INDEMNISATIONS",+IF(D355=8,"AMORTISSEMENT DE LA DETTE",+IF(D355=9,"AUTRES DEPENSES PUBLIQUES",0))))))))</f>
        <v>SUBVENTIONS,QUOTES-PARTS ET CONTRIB.,ALLOC, INDEMNISATIONS</v>
      </c>
      <c r="F355" s="60" t="e">
        <f>SUMIFS([49]mensuel_section_article1!$E$3:$E$962,[49]mensuel_section_article1!$B$3:$B$962,C355,[49]mensuel_section_article1!$C$3:$C$962,D355)</f>
        <v>#VALUE!</v>
      </c>
      <c r="G355" s="60" t="e">
        <f>SUMIFS([49]mensuel_section_article1!$G$3:$G$962,[49]mensuel_section_article1!$B$3:$B$962,C355,[49]mensuel_section_article1!$C$3:$C$962,D355)</f>
        <v>#VALUE!</v>
      </c>
      <c r="H355" s="60">
        <v>0</v>
      </c>
      <c r="I355" s="60">
        <v>0</v>
      </c>
      <c r="J355" s="60">
        <v>0</v>
      </c>
      <c r="K355" s="60">
        <f t="shared" si="192"/>
        <v>0</v>
      </c>
      <c r="L355" s="61" t="e">
        <f>IF(F355&lt;&gt;0,K355/F355,0)</f>
        <v>#VALUE!</v>
      </c>
      <c r="M355" s="60" t="e">
        <f>+SUMIFS([51]section_article!$H$10:$H$936,[51]section_article!$C$10:$C$936,C355,[51]section_article!$D$10:$D$936,D355)</f>
        <v>#VALUE!</v>
      </c>
      <c r="N355" s="24" t="e">
        <f>+J355-M355</f>
        <v>#VALUE!</v>
      </c>
      <c r="O355" s="64"/>
      <c r="P355" s="64"/>
      <c r="Q355" s="64"/>
      <c r="R355" s="64">
        <f t="shared" si="194"/>
        <v>0</v>
      </c>
      <c r="S355" s="64">
        <f t="shared" si="194"/>
        <v>0</v>
      </c>
      <c r="T355" s="64">
        <f t="shared" si="194"/>
        <v>0</v>
      </c>
      <c r="U355" s="64">
        <f t="shared" si="194"/>
        <v>0</v>
      </c>
      <c r="V355" s="64">
        <f t="shared" si="194"/>
        <v>0</v>
      </c>
      <c r="W355" s="64">
        <f t="shared" si="194"/>
        <v>0</v>
      </c>
      <c r="X355" s="64">
        <f t="shared" si="194"/>
        <v>0</v>
      </c>
      <c r="Y355" s="64">
        <f t="shared" si="194"/>
        <v>0</v>
      </c>
      <c r="Z355" s="64">
        <f t="shared" si="194"/>
        <v>0</v>
      </c>
      <c r="AA355" s="64">
        <f t="shared" si="194"/>
        <v>0</v>
      </c>
      <c r="AB355" s="64">
        <f t="shared" si="194"/>
        <v>0</v>
      </c>
      <c r="AC355" s="64">
        <f>SUM(AG353:AG353)</f>
        <v>0</v>
      </c>
      <c r="AD355" s="64">
        <f t="shared" si="194"/>
        <v>0</v>
      </c>
      <c r="AE355" s="64">
        <f t="shared" si="194"/>
        <v>0</v>
      </c>
      <c r="AF355" s="64">
        <f t="shared" si="194"/>
        <v>0</v>
      </c>
      <c r="AG355" s="64">
        <f t="shared" si="194"/>
        <v>0</v>
      </c>
      <c r="AH355" s="64">
        <f t="shared" si="194"/>
        <v>0</v>
      </c>
      <c r="AI355" s="64">
        <f t="shared" si="194"/>
        <v>0</v>
      </c>
      <c r="AJ355" s="64">
        <f t="shared" si="194"/>
        <v>0</v>
      </c>
      <c r="AK355" s="64"/>
      <c r="AL355" s="64"/>
      <c r="AM355" s="64"/>
      <c r="AN355" s="64">
        <f>SUM(AN353:AN353)</f>
        <v>0</v>
      </c>
      <c r="AO355" s="11">
        <v>1211119</v>
      </c>
      <c r="AP355" s="65" t="str">
        <f>CONCATENATE(AO355,D355)</f>
        <v>12111197</v>
      </c>
    </row>
    <row r="356" spans="1:42" s="1" customFormat="1" ht="27.75" hidden="1" customHeight="1" thickTop="1" thickBot="1" x14ac:dyDescent="0.3">
      <c r="A356" s="50" t="s">
        <v>20</v>
      </c>
      <c r="B356" s="50" t="s">
        <v>20</v>
      </c>
      <c r="C356" s="50" t="s">
        <v>20</v>
      </c>
      <c r="D356" s="51">
        <v>1211120</v>
      </c>
      <c r="E356" s="67" t="s">
        <v>68</v>
      </c>
      <c r="F356" s="68" t="e">
        <f>SUMIF($B$357:$B$357,"article",F357:F357)</f>
        <v>#VALUE!</v>
      </c>
      <c r="G356" s="68" t="e">
        <f>SUMIF($B$357:$B$357,"article",G357:G357)</f>
        <v>#VALUE!</v>
      </c>
      <c r="H356" s="68">
        <f>SUMIF($B$357:$B$357,"article",H357:H357)</f>
        <v>0</v>
      </c>
      <c r="I356" s="68">
        <v>0</v>
      </c>
      <c r="J356" s="68">
        <f>SUMIF($B$357:$B$357,"article",J357:J357)</f>
        <v>0</v>
      </c>
      <c r="K356" s="68">
        <f>SUMIF($B$357:$B$357,"article",K357:K357)</f>
        <v>0</v>
      </c>
      <c r="L356" s="69" t="e">
        <f>IF(F356&lt;&gt;0,K356/F356,0)</f>
        <v>#VALUE!</v>
      </c>
      <c r="M356" s="68" t="e">
        <f>SUMIF($B$357:$B$357,"article",M357:M357)</f>
        <v>#VALUE!</v>
      </c>
      <c r="N356" s="68" t="e">
        <f>SUMIF($B$357:$B$357,"article",N357:N357)</f>
        <v>#VALUE!</v>
      </c>
      <c r="O356" s="9"/>
      <c r="Q356" s="23"/>
      <c r="AK356" s="70"/>
      <c r="AL356" s="70"/>
      <c r="AM356" s="70"/>
      <c r="AN356" s="70"/>
      <c r="AO356" s="11">
        <v>1211120</v>
      </c>
    </row>
    <row r="357" spans="1:42" s="62" customFormat="1" ht="27.75" hidden="1" customHeight="1" thickTop="1" thickBot="1" x14ac:dyDescent="0.3">
      <c r="A357" s="56" t="s">
        <v>22</v>
      </c>
      <c r="B357" s="56" t="s">
        <v>22</v>
      </c>
      <c r="C357" s="57">
        <f>IF(A356="SECTION",D356,C356)</f>
        <v>1211120</v>
      </c>
      <c r="D357" s="58">
        <v>9</v>
      </c>
      <c r="E357" s="59" t="str">
        <f>IF(D357=1, "DEPENSES DE PERSONNEL",  +IF(D357=2,"DEPENSES DE SERVICES ET CHARGES DIVERSES", +IF(D357=3,"ACHATS DE BIENS DE CONSOMMATION ET PETITS MATERIELS",+IF(D357=4,"IMMOBILISATION CORPORELLE",+IF(D357=5,"IMMOBILISATION INCORPORELLE",+IF(D357=7,"SUBVENTIONS,QUOTES-PARTS ET CONTRIB.,ALLOC, INDEMNISATIONS",+IF(D357=8,"AMORTISSEMENT DE LA DETTE",+IF(D357=9,"AUTRES DEPENSES PUBLIQUES",0))))))))</f>
        <v>AUTRES DEPENSES PUBLIQUES</v>
      </c>
      <c r="F357" s="60" t="e">
        <f>SUMIFS([49]mensuel_section_article1!$E$3:$E$962,[49]mensuel_section_article1!$B$3:$B$962,C357,[49]mensuel_section_article1!$C$3:$C$962,D357)</f>
        <v>#VALUE!</v>
      </c>
      <c r="G357" s="60" t="e">
        <f>SUMIFS([49]mensuel_section_article1!$G$3:$G$962,[49]mensuel_section_article1!$B$3:$B$962,C357,[49]mensuel_section_article1!$C$3:$C$962,D357)</f>
        <v>#VALUE!</v>
      </c>
      <c r="H357" s="60">
        <v>0</v>
      </c>
      <c r="I357" s="60">
        <v>0</v>
      </c>
      <c r="J357" s="60">
        <v>0</v>
      </c>
      <c r="K357" s="60">
        <f>+H357-J357</f>
        <v>0</v>
      </c>
      <c r="L357" s="61" t="e">
        <f>IF(F357&lt;&gt;0,K357/F357,0)</f>
        <v>#VALUE!</v>
      </c>
      <c r="M357" s="60" t="e">
        <f>+SUMIFS([51]section_article!$H$10:$H$936,[51]section_article!$C$10:$C$936,C357,[51]section_article!$D$10:$D$936,D357)</f>
        <v>#VALUE!</v>
      </c>
      <c r="N357" s="24" t="e">
        <f>+J357-M357</f>
        <v>#VALUE!</v>
      </c>
      <c r="O357" s="9"/>
      <c r="Q357" s="63"/>
      <c r="AK357" s="64"/>
      <c r="AL357" s="64"/>
      <c r="AM357" s="64"/>
      <c r="AN357" s="64"/>
      <c r="AO357" s="11">
        <v>1211120</v>
      </c>
      <c r="AP357" s="65" t="str">
        <f>CONCATENATE(AO357,D357)</f>
        <v>12111209</v>
      </c>
    </row>
    <row r="358" spans="1:42" s="1" customFormat="1" ht="27.75" customHeight="1" thickTop="1" thickBot="1" x14ac:dyDescent="0.3">
      <c r="A358" s="50" t="s">
        <v>20</v>
      </c>
      <c r="B358" s="50" t="s">
        <v>20</v>
      </c>
      <c r="C358" s="50" t="s">
        <v>20</v>
      </c>
      <c r="D358" s="51">
        <v>1211121</v>
      </c>
      <c r="E358" s="67" t="s">
        <v>69</v>
      </c>
      <c r="F358" s="68" t="e">
        <f>SUMIF($B$359:$B$365,"article",F359:F365)</f>
        <v>#VALUE!</v>
      </c>
      <c r="G358" s="68" t="e">
        <f>SUMIF($B$359:$B$365,"article",G359:G365)</f>
        <v>#VALUE!</v>
      </c>
      <c r="H358" s="68">
        <f>SUMIF($B$359:$B$365,"article",H359:H365)</f>
        <v>40999999.936000004</v>
      </c>
      <c r="I358" s="68">
        <v>40999999.900000006</v>
      </c>
      <c r="J358" s="68">
        <f>SUMIF($B$359:$B$365,"article",J359:J365)</f>
        <v>40899587.450000003</v>
      </c>
      <c r="K358" s="68">
        <f>SUMIF($B$359:$B$365,"article",K359:K365)</f>
        <v>100412.48600000143</v>
      </c>
      <c r="L358" s="69">
        <f>+J358/H358</f>
        <v>0.99755091497178672</v>
      </c>
      <c r="M358" s="68"/>
      <c r="N358" s="68"/>
      <c r="O358" s="9"/>
      <c r="Q358" s="23"/>
      <c r="AK358" s="70"/>
      <c r="AL358" s="70"/>
      <c r="AM358" s="70"/>
      <c r="AN358" s="70"/>
      <c r="AO358" s="11">
        <v>1211121</v>
      </c>
    </row>
    <row r="359" spans="1:42" s="62" customFormat="1" ht="27.75" customHeight="1" thickTop="1" thickBot="1" x14ac:dyDescent="0.3">
      <c r="A359" s="56" t="s">
        <v>22</v>
      </c>
      <c r="B359" s="56" t="s">
        <v>22</v>
      </c>
      <c r="C359" s="57">
        <f t="shared" ref="C359:C365" si="195">IF(A358="SECTION",D358,C358)</f>
        <v>1211121</v>
      </c>
      <c r="D359" s="58">
        <v>1</v>
      </c>
      <c r="E359" s="59" t="str">
        <f t="shared" ref="E359:E365" si="196">IF(D359=1, "DEPENSES DE PERSONNEL",  +IF(D359=2,"DEPENSES DE SERVICES ET CHARGES DIVERSES", +IF(D359=3,"ACHATS DE BIENS DE CONSOMMATION ET PETITS MATERIELS",+IF(D359=4,"IMMOBILISATION CORPORELLE",+IF(D359=5,"IMMOBILISATION INCORPORELLE",+IF(D359=7,"SUBVENTIONS,QUOTES-PARTS ET CONTRIB.,ALLOC, INDEMNISATIONS",+IF(D359=8,"AMORTISSEMENT DE LA DETTE",+IF(D359=9,"AUTRES DEPENSES PUBLIQUES",0))))))))</f>
        <v>DEPENSES DE PERSONNEL</v>
      </c>
      <c r="F359" s="60" t="e">
        <f>SUMIFS([49]mensuel_section_article1!$E$3:$E$962,[49]mensuel_section_article1!$B$3:$B$962,C359,[49]mensuel_section_article1!$C$3:$C$962,D359)</f>
        <v>#VALUE!</v>
      </c>
      <c r="G359" s="60" t="e">
        <f>SUMIFS([49]mensuel_section_article1!$G$3:$G$962,[49]mensuel_section_article1!$B$3:$B$962,C359,[49]mensuel_section_article1!$C$3:$C$962,D359)</f>
        <v>#VALUE!</v>
      </c>
      <c r="H359" s="60">
        <v>25416103</v>
      </c>
      <c r="I359" s="60">
        <v>25416103.000000004</v>
      </c>
      <c r="J359" s="60">
        <v>25315691.279999997</v>
      </c>
      <c r="K359" s="60">
        <f t="shared" ref="K359:K365" si="197">+H359-J359</f>
        <v>100411.72000000253</v>
      </c>
      <c r="L359" s="61">
        <f>+J359/H359</f>
        <v>0.99604928733567055</v>
      </c>
      <c r="M359" s="60"/>
      <c r="N359" s="24"/>
      <c r="O359" s="9"/>
      <c r="Q359" s="63"/>
      <c r="AK359" s="64"/>
      <c r="AL359" s="64"/>
      <c r="AM359" s="64"/>
      <c r="AN359" s="64"/>
      <c r="AO359" s="11">
        <v>1211121</v>
      </c>
      <c r="AP359" s="65" t="str">
        <f t="shared" ref="AP359:AP365" si="198">CONCATENATE(AO359,D359)</f>
        <v>12111211</v>
      </c>
    </row>
    <row r="360" spans="1:42" s="62" customFormat="1" ht="27.75" customHeight="1" thickTop="1" thickBot="1" x14ac:dyDescent="0.3">
      <c r="A360" s="56" t="s">
        <v>22</v>
      </c>
      <c r="B360" s="56" t="s">
        <v>22</v>
      </c>
      <c r="C360" s="57">
        <f t="shared" si="195"/>
        <v>1211121</v>
      </c>
      <c r="D360" s="58">
        <v>2</v>
      </c>
      <c r="E360" s="59" t="str">
        <f t="shared" si="196"/>
        <v>DEPENSES DE SERVICES ET CHARGES DIVERSES</v>
      </c>
      <c r="F360" s="60" t="e">
        <f>SUMIFS([49]mensuel_section_article1!$E$3:$E$962,[49]mensuel_section_article1!$B$3:$B$962,C360,[49]mensuel_section_article1!$C$3:$C$962,D360)</f>
        <v>#VALUE!</v>
      </c>
      <c r="G360" s="60" t="e">
        <f>SUMIFS([49]mensuel_section_article1!$G$3:$G$962,[49]mensuel_section_article1!$B$3:$B$962,C360,[49]mensuel_section_article1!$C$3:$C$962,D360)</f>
        <v>#VALUE!</v>
      </c>
      <c r="H360" s="60">
        <v>15583896.936000001</v>
      </c>
      <c r="I360" s="60">
        <v>15583896.9</v>
      </c>
      <c r="J360" s="60">
        <v>15583896.170000002</v>
      </c>
      <c r="K360" s="60">
        <f t="shared" si="197"/>
        <v>0.76599999889731407</v>
      </c>
      <c r="L360" s="61">
        <f>+J360/H360</f>
        <v>0.99999995084669757</v>
      </c>
      <c r="M360" s="60"/>
      <c r="N360" s="24"/>
      <c r="O360" s="9"/>
      <c r="Q360" s="63"/>
      <c r="AK360" s="64"/>
      <c r="AL360" s="64"/>
      <c r="AM360" s="64"/>
      <c r="AN360" s="64"/>
      <c r="AO360" s="11">
        <v>1211121</v>
      </c>
      <c r="AP360" s="65" t="str">
        <f t="shared" si="198"/>
        <v>12111212</v>
      </c>
    </row>
    <row r="361" spans="1:42" s="62" customFormat="1" ht="27.75" hidden="1" customHeight="1" thickTop="1" thickBot="1" x14ac:dyDescent="0.3">
      <c r="A361" s="56" t="s">
        <v>22</v>
      </c>
      <c r="B361" s="56" t="s">
        <v>22</v>
      </c>
      <c r="C361" s="57">
        <f t="shared" si="195"/>
        <v>1211121</v>
      </c>
      <c r="D361" s="58">
        <v>3</v>
      </c>
      <c r="E361" s="59" t="str">
        <f t="shared" si="196"/>
        <v>ACHATS DE BIENS DE CONSOMMATION ET PETITS MATERIELS</v>
      </c>
      <c r="F361" s="60" t="e">
        <f>SUMIFS([49]mensuel_section_article1!$E$3:$E$962,[49]mensuel_section_article1!$B$3:$B$962,C361,[49]mensuel_section_article1!$C$3:$C$962,D361)</f>
        <v>#VALUE!</v>
      </c>
      <c r="G361" s="60" t="e">
        <f>SUMIFS([49]mensuel_section_article1!$G$3:$G$962,[49]mensuel_section_article1!$B$3:$B$962,C361,[49]mensuel_section_article1!$C$3:$C$962,D361)</f>
        <v>#VALUE!</v>
      </c>
      <c r="H361" s="60">
        <v>0</v>
      </c>
      <c r="I361" s="60">
        <v>0</v>
      </c>
      <c r="J361" s="60">
        <v>0</v>
      </c>
      <c r="K361" s="60">
        <f t="shared" si="197"/>
        <v>0</v>
      </c>
      <c r="L361" s="61" t="e">
        <f>IF(F361&lt;&gt;0,K361/F361,0)</f>
        <v>#VALUE!</v>
      </c>
      <c r="M361" s="60" t="e">
        <f>+SUMIFS([51]section_article!$H$10:$H$936,[51]section_article!$C$10:$C$936,C361,[51]section_article!$D$10:$D$936,D361)</f>
        <v>#VALUE!</v>
      </c>
      <c r="N361" s="24" t="e">
        <f t="shared" ref="N359:N365" si="199">+J361-M361</f>
        <v>#VALUE!</v>
      </c>
      <c r="O361" s="9"/>
      <c r="Q361" s="63"/>
      <c r="AK361" s="64"/>
      <c r="AL361" s="64"/>
      <c r="AM361" s="64"/>
      <c r="AN361" s="64"/>
      <c r="AO361" s="11">
        <v>1211121</v>
      </c>
      <c r="AP361" s="65" t="str">
        <f t="shared" si="198"/>
        <v>12111213</v>
      </c>
    </row>
    <row r="362" spans="1:42" s="62" customFormat="1" ht="27.75" hidden="1" customHeight="1" thickTop="1" thickBot="1" x14ac:dyDescent="0.3">
      <c r="A362" s="56" t="s">
        <v>22</v>
      </c>
      <c r="B362" s="56" t="s">
        <v>22</v>
      </c>
      <c r="C362" s="57">
        <f t="shared" si="195"/>
        <v>1211121</v>
      </c>
      <c r="D362" s="58">
        <v>4</v>
      </c>
      <c r="E362" s="59" t="str">
        <f t="shared" si="196"/>
        <v>IMMOBILISATION CORPORELLE</v>
      </c>
      <c r="F362" s="60" t="e">
        <f>SUMIFS([49]mensuel_section_article1!$E$3:$E$962,[49]mensuel_section_article1!$B$3:$B$962,C362,[49]mensuel_section_article1!$C$3:$C$962,D362)</f>
        <v>#VALUE!</v>
      </c>
      <c r="G362" s="60" t="e">
        <f>SUMIFS([49]mensuel_section_article1!$G$3:$G$962,[49]mensuel_section_article1!$B$3:$B$962,C362,[49]mensuel_section_article1!$C$3:$C$962,D362)</f>
        <v>#VALUE!</v>
      </c>
      <c r="H362" s="60">
        <v>0</v>
      </c>
      <c r="I362" s="60">
        <v>0</v>
      </c>
      <c r="J362" s="60">
        <v>0</v>
      </c>
      <c r="K362" s="60">
        <f t="shared" si="197"/>
        <v>0</v>
      </c>
      <c r="L362" s="61" t="e">
        <f>IF(F362&lt;&gt;0,K362/F362,0)</f>
        <v>#VALUE!</v>
      </c>
      <c r="M362" s="60" t="e">
        <f>+SUMIFS([51]section_article!$H$10:$H$936,[51]section_article!$C$10:$C$936,C362,[51]section_article!$D$10:$D$936,D362)</f>
        <v>#VALUE!</v>
      </c>
      <c r="N362" s="24" t="e">
        <f t="shared" si="199"/>
        <v>#VALUE!</v>
      </c>
      <c r="O362" s="9"/>
      <c r="Q362" s="63"/>
      <c r="AK362" s="64"/>
      <c r="AL362" s="64"/>
      <c r="AM362" s="64"/>
      <c r="AN362" s="64"/>
      <c r="AO362" s="11">
        <v>1211121</v>
      </c>
      <c r="AP362" s="65" t="str">
        <f t="shared" si="198"/>
        <v>12111214</v>
      </c>
    </row>
    <row r="363" spans="1:42" s="62" customFormat="1" ht="27.75" hidden="1" customHeight="1" thickTop="1" thickBot="1" x14ac:dyDescent="0.3">
      <c r="A363" s="56" t="s">
        <v>22</v>
      </c>
      <c r="B363" s="56" t="s">
        <v>22</v>
      </c>
      <c r="C363" s="57">
        <f t="shared" si="195"/>
        <v>1211121</v>
      </c>
      <c r="D363" s="58">
        <v>5</v>
      </c>
      <c r="E363" s="59" t="str">
        <f t="shared" si="196"/>
        <v>IMMOBILISATION INCORPORELLE</v>
      </c>
      <c r="F363" s="60" t="e">
        <f>SUMIFS([49]mensuel_section_article1!$E$3:$E$962,[49]mensuel_section_article1!$B$3:$B$962,C363,[49]mensuel_section_article1!$C$3:$C$962,D363)</f>
        <v>#VALUE!</v>
      </c>
      <c r="G363" s="60" t="e">
        <f>SUMIFS([49]mensuel_section_article1!$G$3:$G$962,[49]mensuel_section_article1!$B$3:$B$962,C363,[49]mensuel_section_article1!$C$3:$C$962,D363)</f>
        <v>#VALUE!</v>
      </c>
      <c r="H363" s="60">
        <v>0</v>
      </c>
      <c r="I363" s="60">
        <v>0</v>
      </c>
      <c r="J363" s="60">
        <v>0</v>
      </c>
      <c r="K363" s="60">
        <f t="shared" si="197"/>
        <v>0</v>
      </c>
      <c r="L363" s="61" t="e">
        <f>IF(F363&lt;&gt;0,K363/F363,0)</f>
        <v>#VALUE!</v>
      </c>
      <c r="M363" s="60" t="e">
        <f>+SUMIFS([51]section_article!$H$10:$H$936,[51]section_article!$C$10:$C$936,C363,[51]section_article!$D$10:$D$936,D363)</f>
        <v>#VALUE!</v>
      </c>
      <c r="N363" s="24" t="e">
        <f t="shared" si="199"/>
        <v>#VALUE!</v>
      </c>
      <c r="O363" s="9"/>
      <c r="Q363" s="63"/>
      <c r="AK363" s="64"/>
      <c r="AL363" s="64"/>
      <c r="AM363" s="64"/>
      <c r="AN363" s="64"/>
      <c r="AO363" s="11">
        <v>1211121</v>
      </c>
      <c r="AP363" s="65" t="str">
        <f t="shared" si="198"/>
        <v>12111215</v>
      </c>
    </row>
    <row r="364" spans="1:42" s="62" customFormat="1" ht="27.75" hidden="1" customHeight="1" thickTop="1" thickBot="1" x14ac:dyDescent="0.3">
      <c r="A364" s="56" t="s">
        <v>22</v>
      </c>
      <c r="B364" s="56" t="s">
        <v>22</v>
      </c>
      <c r="C364" s="57">
        <f t="shared" si="195"/>
        <v>1211121</v>
      </c>
      <c r="D364" s="58">
        <v>7</v>
      </c>
      <c r="E364" s="59" t="str">
        <f t="shared" si="196"/>
        <v>SUBVENTIONS,QUOTES-PARTS ET CONTRIB.,ALLOC, INDEMNISATIONS</v>
      </c>
      <c r="F364" s="60" t="e">
        <f>SUMIFS([49]mensuel_section_article1!$E$3:$E$962,[49]mensuel_section_article1!$B$3:$B$962,C364,[49]mensuel_section_article1!$C$3:$C$962,D364)</f>
        <v>#VALUE!</v>
      </c>
      <c r="G364" s="60" t="e">
        <f>SUMIFS([49]mensuel_section_article1!$G$3:$G$962,[49]mensuel_section_article1!$B$3:$B$962,C364,[49]mensuel_section_article1!$C$3:$C$962,D364)</f>
        <v>#VALUE!</v>
      </c>
      <c r="H364" s="60">
        <v>0</v>
      </c>
      <c r="I364" s="60">
        <v>0</v>
      </c>
      <c r="J364" s="60">
        <v>0</v>
      </c>
      <c r="K364" s="60">
        <f t="shared" si="197"/>
        <v>0</v>
      </c>
      <c r="L364" s="61" t="e">
        <f>IF(F364&lt;&gt;0,K364/F364,0)</f>
        <v>#VALUE!</v>
      </c>
      <c r="M364" s="60" t="e">
        <f>+SUMIFS([51]section_article!$H$10:$H$936,[51]section_article!$C$10:$C$936,C364,[51]section_article!$D$10:$D$936,D364)</f>
        <v>#VALUE!</v>
      </c>
      <c r="N364" s="24" t="e">
        <f t="shared" si="199"/>
        <v>#VALUE!</v>
      </c>
      <c r="O364" s="9"/>
      <c r="Q364" s="63"/>
      <c r="AK364" s="64"/>
      <c r="AL364" s="64"/>
      <c r="AM364" s="64"/>
      <c r="AN364" s="64"/>
      <c r="AO364" s="11">
        <v>1211121</v>
      </c>
      <c r="AP364" s="65" t="str">
        <f t="shared" si="198"/>
        <v>12111217</v>
      </c>
    </row>
    <row r="365" spans="1:42" s="62" customFormat="1" ht="27.75" hidden="1" customHeight="1" thickTop="1" thickBot="1" x14ac:dyDescent="0.3">
      <c r="A365" s="56" t="s">
        <v>22</v>
      </c>
      <c r="B365" s="56" t="s">
        <v>22</v>
      </c>
      <c r="C365" s="57">
        <f t="shared" si="195"/>
        <v>1211121</v>
      </c>
      <c r="D365" s="58">
        <v>9</v>
      </c>
      <c r="E365" s="59" t="str">
        <f t="shared" si="196"/>
        <v>AUTRES DEPENSES PUBLIQUES</v>
      </c>
      <c r="F365" s="60" t="e">
        <f>SUMIFS([49]mensuel_section_article1!$E$3:$E$962,[49]mensuel_section_article1!$B$3:$B$962,C365,[49]mensuel_section_article1!$C$3:$C$962,D365)</f>
        <v>#VALUE!</v>
      </c>
      <c r="G365" s="60" t="e">
        <f>SUMIFS([49]mensuel_section_article1!$G$3:$G$962,[49]mensuel_section_article1!$B$3:$B$962,C365,[49]mensuel_section_article1!$C$3:$C$962,D365)</f>
        <v>#VALUE!</v>
      </c>
      <c r="H365" s="60">
        <v>0</v>
      </c>
      <c r="I365" s="60">
        <v>0</v>
      </c>
      <c r="J365" s="60">
        <v>0</v>
      </c>
      <c r="K365" s="60">
        <f t="shared" si="197"/>
        <v>0</v>
      </c>
      <c r="L365" s="61" t="e">
        <f>IF(F365&lt;&gt;0,K365/F365,0)</f>
        <v>#VALUE!</v>
      </c>
      <c r="M365" s="60" t="e">
        <f>+SUMIFS([51]section_article!$H$10:$H$936,[51]section_article!$C$10:$C$936,C365,[51]section_article!$D$10:$D$936,D365)</f>
        <v>#VALUE!</v>
      </c>
      <c r="N365" s="24" t="e">
        <f t="shared" si="199"/>
        <v>#VALUE!</v>
      </c>
      <c r="O365" s="9"/>
      <c r="Q365" s="63"/>
      <c r="AK365" s="64"/>
      <c r="AL365" s="64"/>
      <c r="AM365" s="64"/>
      <c r="AN365" s="64"/>
      <c r="AO365" s="11">
        <v>1211121</v>
      </c>
      <c r="AP365" s="65" t="str">
        <f t="shared" si="198"/>
        <v>12111219</v>
      </c>
    </row>
    <row r="366" spans="1:42" s="49" customFormat="1" ht="27.75" customHeight="1" thickTop="1" x14ac:dyDescent="0.25">
      <c r="A366" s="43" t="s">
        <v>19</v>
      </c>
      <c r="B366" s="43" t="s">
        <v>19</v>
      </c>
      <c r="C366" s="43" t="s">
        <v>19</v>
      </c>
      <c r="D366" s="44">
        <v>12112</v>
      </c>
      <c r="E366" s="45" t="str">
        <f>VLOOKUP(D366,[49]INST!$A$1:$B$626,2,FALSE)</f>
        <v>SERVICES EXTERNES</v>
      </c>
      <c r="F366" s="46" t="e">
        <f>SUMIF($B$366:$B$374,"section",F366:F374)</f>
        <v>#VALUE!</v>
      </c>
      <c r="G366" s="46" t="e">
        <f>SUMIF($B$366:$B$374,"section",G366:G374)</f>
        <v>#VALUE!</v>
      </c>
      <c r="H366" s="46">
        <f>SUMIF($B$366:$B$374,"section",H366:H374)</f>
        <v>9515744673.5100002</v>
      </c>
      <c r="I366" s="46">
        <v>9515744673.4999981</v>
      </c>
      <c r="J366" s="46">
        <f>SUMIF($B$366:$B$374,"section",J366:J374)</f>
        <v>9463970516.0700016</v>
      </c>
      <c r="K366" s="46">
        <f>SUMIF($B$366:$B$374,"section",K366:K374)</f>
        <v>51774157.439999796</v>
      </c>
      <c r="L366" s="47">
        <f t="shared" ref="L366:L371" si="200">+J366/H366</f>
        <v>0.9945591060693203</v>
      </c>
      <c r="M366" s="46"/>
      <c r="N366" s="46"/>
      <c r="O366" s="48"/>
      <c r="AO366" s="11"/>
    </row>
    <row r="367" spans="1:42" s="1" customFormat="1" ht="27.75" customHeight="1" thickBot="1" x14ac:dyDescent="0.3">
      <c r="A367" s="50" t="s">
        <v>20</v>
      </c>
      <c r="B367" s="50" t="s">
        <v>20</v>
      </c>
      <c r="C367" s="50" t="s">
        <v>20</v>
      </c>
      <c r="D367" s="51">
        <v>1211216</v>
      </c>
      <c r="E367" s="67" t="s">
        <v>70</v>
      </c>
      <c r="F367" s="68" t="e">
        <f>SUMIF($B$368:$B$374,"article",F368:F374)</f>
        <v>#VALUE!</v>
      </c>
      <c r="G367" s="68" t="e">
        <f>SUMIF($B$368:$B$374,"article",G368:G374)</f>
        <v>#VALUE!</v>
      </c>
      <c r="H367" s="68">
        <f>SUMIF($B$368:$B$374,"article",H368:H374)</f>
        <v>9515744673.5100002</v>
      </c>
      <c r="I367" s="68">
        <v>9515744673.4999981</v>
      </c>
      <c r="J367" s="68">
        <f>SUMIF($B$368:$B$374,"article",J368:J374)</f>
        <v>9463970516.0700016</v>
      </c>
      <c r="K367" s="68">
        <f>SUMIF($B$368:$B$374,"article",K368:K374)</f>
        <v>51774157.439999796</v>
      </c>
      <c r="L367" s="69">
        <f t="shared" si="200"/>
        <v>0.9945591060693203</v>
      </c>
      <c r="M367" s="68"/>
      <c r="N367" s="68"/>
      <c r="O367" s="9"/>
      <c r="Q367" s="23"/>
      <c r="AK367" s="70"/>
      <c r="AL367" s="70"/>
      <c r="AM367" s="70"/>
      <c r="AN367" s="70"/>
      <c r="AO367" s="11">
        <v>1211216</v>
      </c>
    </row>
    <row r="368" spans="1:42" s="62" customFormat="1" ht="27.75" customHeight="1" thickTop="1" thickBot="1" x14ac:dyDescent="0.3">
      <c r="A368" s="56" t="s">
        <v>22</v>
      </c>
      <c r="B368" s="56" t="s">
        <v>22</v>
      </c>
      <c r="C368" s="57">
        <f t="shared" ref="C368:C374" si="201">IF(A367="SECTION",D367,C367)</f>
        <v>1211216</v>
      </c>
      <c r="D368" s="58">
        <v>1</v>
      </c>
      <c r="E368" s="59" t="str">
        <f t="shared" ref="E368:E374" si="202">IF(D368=1, "DEPENSES DE PERSONNEL",  +IF(D368=2,"DEPENSES DE SERVICES ET CHARGES DIVERSES", +IF(D368=3,"ACHATS DE BIENS DE CONSOMMATION ET PETITS MATERIELS",+IF(D368=4,"IMMOBILISATION CORPORELLE",+IF(D368=5,"IMMOBILISATION INCORPORELLE",+IF(D368=7,"SUBVENTIONS,QUOTES-PARTS ET CONTRIB.,ALLOC, INDEMNISATIONS",+IF(D368=8,"AMORTISSEMENT DE LA DETTE",+IF(D368=9,"AUTRES DEPENSES PUBLIQUES",0))))))))</f>
        <v>DEPENSES DE PERSONNEL</v>
      </c>
      <c r="F368" s="60" t="e">
        <f>SUMIFS([49]mensuel_section_article1!$E$3:$E$962,[49]mensuel_section_article1!$B$3:$B$962,C368,[49]mensuel_section_article1!$C$3:$C$962,D368)</f>
        <v>#VALUE!</v>
      </c>
      <c r="G368" s="60" t="e">
        <f>SUMIFS([49]mensuel_section_article1!$G$3:$G$962,[49]mensuel_section_article1!$B$3:$B$962,C368,[49]mensuel_section_article1!$C$3:$C$962,D368)</f>
        <v>#VALUE!</v>
      </c>
      <c r="H368" s="60">
        <v>7529084917.3000002</v>
      </c>
      <c r="I368" s="60">
        <v>7529084917.2999992</v>
      </c>
      <c r="J368" s="60">
        <v>7492759742.2700005</v>
      </c>
      <c r="K368" s="60">
        <f t="shared" ref="K368:K374" si="203">+H368-J368</f>
        <v>36325175.029999733</v>
      </c>
      <c r="L368" s="61">
        <f t="shared" si="200"/>
        <v>0.99517535325620599</v>
      </c>
      <c r="M368" s="60"/>
      <c r="N368" s="24"/>
      <c r="O368" s="9"/>
      <c r="Q368" s="63"/>
      <c r="AK368" s="64"/>
      <c r="AL368" s="64"/>
      <c r="AM368" s="64"/>
      <c r="AN368" s="64"/>
      <c r="AO368" s="11">
        <v>1211216</v>
      </c>
      <c r="AP368" s="65" t="str">
        <f t="shared" ref="AP368:AP374" si="204">CONCATENATE(AO368,D368)</f>
        <v>12112161</v>
      </c>
    </row>
    <row r="369" spans="1:42" s="62" customFormat="1" ht="27.75" customHeight="1" thickTop="1" thickBot="1" x14ac:dyDescent="0.3">
      <c r="A369" s="56" t="s">
        <v>22</v>
      </c>
      <c r="B369" s="56" t="s">
        <v>22</v>
      </c>
      <c r="C369" s="57">
        <f t="shared" si="201"/>
        <v>1211216</v>
      </c>
      <c r="D369" s="58">
        <v>2</v>
      </c>
      <c r="E369" s="59" t="str">
        <f t="shared" si="202"/>
        <v>DEPENSES DE SERVICES ET CHARGES DIVERSES</v>
      </c>
      <c r="F369" s="60" t="e">
        <f>SUMIFS([49]mensuel_section_article1!$E$3:$E$962,[49]mensuel_section_article1!$B$3:$B$962,C369,[49]mensuel_section_article1!$C$3:$C$962,D369)</f>
        <v>#VALUE!</v>
      </c>
      <c r="G369" s="60" t="e">
        <f>SUMIFS([49]mensuel_section_article1!$G$3:$G$962,[49]mensuel_section_article1!$B$3:$B$962,C369,[49]mensuel_section_article1!$C$3:$C$962,D369)</f>
        <v>#VALUE!</v>
      </c>
      <c r="H369" s="60">
        <v>113995064.08000001</v>
      </c>
      <c r="I369" s="60">
        <v>86961770.109999985</v>
      </c>
      <c r="J369" s="60">
        <v>82600849.099999994</v>
      </c>
      <c r="K369" s="60">
        <f t="shared" si="203"/>
        <v>31394214.980000019</v>
      </c>
      <c r="L369" s="61">
        <f t="shared" si="200"/>
        <v>0.72460022516441558</v>
      </c>
      <c r="M369" s="60"/>
      <c r="N369" s="24"/>
      <c r="O369" s="9"/>
      <c r="Q369" s="63"/>
      <c r="AK369" s="64"/>
      <c r="AL369" s="64"/>
      <c r="AM369" s="64"/>
      <c r="AN369" s="64"/>
      <c r="AO369" s="11">
        <v>1211216</v>
      </c>
      <c r="AP369" s="65" t="str">
        <f t="shared" si="204"/>
        <v>12112162</v>
      </c>
    </row>
    <row r="370" spans="1:42" s="62" customFormat="1" ht="27.75" customHeight="1" thickTop="1" thickBot="1" x14ac:dyDescent="0.3">
      <c r="A370" s="56" t="s">
        <v>22</v>
      </c>
      <c r="B370" s="56" t="s">
        <v>22</v>
      </c>
      <c r="C370" s="57">
        <f t="shared" si="201"/>
        <v>1211216</v>
      </c>
      <c r="D370" s="58">
        <v>3</v>
      </c>
      <c r="E370" s="59" t="str">
        <f t="shared" si="202"/>
        <v>ACHATS DE BIENS DE CONSOMMATION ET PETITS MATERIELS</v>
      </c>
      <c r="F370" s="60" t="e">
        <f>SUMIFS([49]mensuel_section_article1!$E$3:$E$962,[49]mensuel_section_article1!$B$3:$B$962,C370,[49]mensuel_section_article1!$C$3:$C$962,D370)</f>
        <v>#VALUE!</v>
      </c>
      <c r="G370" s="60" t="e">
        <f>SUMIFS([49]mensuel_section_article1!$G$3:$G$962,[49]mensuel_section_article1!$B$3:$B$962,C370,[49]mensuel_section_article1!$C$3:$C$962,D370)</f>
        <v>#VALUE!</v>
      </c>
      <c r="H370" s="60">
        <v>1475368241.21</v>
      </c>
      <c r="I370" s="60">
        <v>1521401535.1900001</v>
      </c>
      <c r="J370" s="60">
        <v>1517564131.79</v>
      </c>
      <c r="K370" s="60">
        <f t="shared" si="203"/>
        <v>-42195890.579999924</v>
      </c>
      <c r="L370" s="61">
        <f t="shared" si="200"/>
        <v>1.0286002432486914</v>
      </c>
      <c r="M370" s="60"/>
      <c r="N370" s="24"/>
      <c r="O370" s="9"/>
      <c r="Q370" s="63"/>
      <c r="AK370" s="64"/>
      <c r="AL370" s="64"/>
      <c r="AM370" s="64"/>
      <c r="AN370" s="64"/>
      <c r="AO370" s="11">
        <v>1211216</v>
      </c>
      <c r="AP370" s="65" t="str">
        <f t="shared" si="204"/>
        <v>12112163</v>
      </c>
    </row>
    <row r="371" spans="1:42" s="62" customFormat="1" ht="27.75" customHeight="1" thickTop="1" thickBot="1" x14ac:dyDescent="0.3">
      <c r="A371" s="56" t="s">
        <v>22</v>
      </c>
      <c r="B371" s="56" t="s">
        <v>22</v>
      </c>
      <c r="C371" s="57">
        <f t="shared" si="201"/>
        <v>1211216</v>
      </c>
      <c r="D371" s="58">
        <v>4</v>
      </c>
      <c r="E371" s="59" t="str">
        <f t="shared" si="202"/>
        <v>IMMOBILISATION CORPORELLE</v>
      </c>
      <c r="F371" s="60" t="e">
        <f>SUMIFS([49]mensuel_section_article1!$E$3:$E$962,[49]mensuel_section_article1!$B$3:$B$962,C371,[49]mensuel_section_article1!$C$3:$C$962,D371)</f>
        <v>#VALUE!</v>
      </c>
      <c r="G371" s="60" t="e">
        <f>SUMIFS([49]mensuel_section_article1!$G$3:$G$962,[49]mensuel_section_article1!$B$3:$B$962,C371,[49]mensuel_section_article1!$C$3:$C$962,D371)</f>
        <v>#VALUE!</v>
      </c>
      <c r="H371" s="60">
        <v>31999999.080000006</v>
      </c>
      <c r="I371" s="60">
        <v>31999999.100000001</v>
      </c>
      <c r="J371" s="60">
        <v>28123937.030000001</v>
      </c>
      <c r="K371" s="60">
        <f t="shared" si="203"/>
        <v>3876062.0500000045</v>
      </c>
      <c r="L371" s="61">
        <f t="shared" si="200"/>
        <v>0.87887305745510025</v>
      </c>
      <c r="M371" s="60"/>
      <c r="N371" s="24"/>
      <c r="O371" s="9"/>
      <c r="Q371" s="63"/>
      <c r="AK371" s="64"/>
      <c r="AL371" s="64"/>
      <c r="AM371" s="64"/>
      <c r="AN371" s="64"/>
      <c r="AO371" s="11">
        <v>1211216</v>
      </c>
      <c r="AP371" s="65" t="str">
        <f t="shared" si="204"/>
        <v>12112164</v>
      </c>
    </row>
    <row r="372" spans="1:42" s="62" customFormat="1" ht="27.75" hidden="1" customHeight="1" thickTop="1" thickBot="1" x14ac:dyDescent="0.3">
      <c r="A372" s="56" t="s">
        <v>22</v>
      </c>
      <c r="B372" s="56" t="s">
        <v>22</v>
      </c>
      <c r="C372" s="57">
        <f t="shared" si="201"/>
        <v>1211216</v>
      </c>
      <c r="D372" s="58">
        <v>5</v>
      </c>
      <c r="E372" s="59" t="str">
        <f t="shared" si="202"/>
        <v>IMMOBILISATION INCORPORELLE</v>
      </c>
      <c r="F372" s="60" t="e">
        <f>SUMIFS([49]mensuel_section_article1!$E$3:$E$962,[49]mensuel_section_article1!$B$3:$B$962,C372,[49]mensuel_section_article1!$C$3:$C$962,D372)</f>
        <v>#VALUE!</v>
      </c>
      <c r="G372" s="60" t="e">
        <f>SUMIFS([49]mensuel_section_article1!$G$3:$G$962,[49]mensuel_section_article1!$B$3:$B$962,C372,[49]mensuel_section_article1!$C$3:$C$962,D372)</f>
        <v>#VALUE!</v>
      </c>
      <c r="H372" s="60">
        <v>0</v>
      </c>
      <c r="I372" s="60">
        <v>0</v>
      </c>
      <c r="J372" s="60">
        <v>0</v>
      </c>
      <c r="K372" s="60">
        <f t="shared" si="203"/>
        <v>0</v>
      </c>
      <c r="L372" s="61" t="e">
        <f>IF(F372&lt;&gt;0,K372/F372,0)</f>
        <v>#VALUE!</v>
      </c>
      <c r="M372" s="60" t="e">
        <f>+SUMIFS([51]section_article!$H$10:$H$936,[51]section_article!$C$10:$C$936,C372,[51]section_article!$D$10:$D$936,D372)</f>
        <v>#VALUE!</v>
      </c>
      <c r="N372" s="24" t="e">
        <f t="shared" ref="N368:N374" si="205">+J372-M372</f>
        <v>#VALUE!</v>
      </c>
      <c r="O372" s="9"/>
      <c r="Q372" s="63"/>
      <c r="AK372" s="64"/>
      <c r="AL372" s="64"/>
      <c r="AM372" s="64"/>
      <c r="AN372" s="64"/>
      <c r="AO372" s="11">
        <v>1211216</v>
      </c>
      <c r="AP372" s="65" t="str">
        <f t="shared" si="204"/>
        <v>12112165</v>
      </c>
    </row>
    <row r="373" spans="1:42" s="62" customFormat="1" ht="27.75" customHeight="1" thickTop="1" thickBot="1" x14ac:dyDescent="0.3">
      <c r="A373" s="56" t="s">
        <v>22</v>
      </c>
      <c r="B373" s="56" t="s">
        <v>22</v>
      </c>
      <c r="C373" s="57">
        <f t="shared" si="201"/>
        <v>1211216</v>
      </c>
      <c r="D373" s="58">
        <v>7</v>
      </c>
      <c r="E373" s="59" t="str">
        <f t="shared" si="202"/>
        <v>SUBVENTIONS,QUOTES-PARTS ET CONTRIB.,ALLOC, INDEMNISATIONS</v>
      </c>
      <c r="F373" s="60" t="e">
        <f>SUMIFS([49]mensuel_section_article1!$E$3:$E$962,[49]mensuel_section_article1!$B$3:$B$962,C373,[49]mensuel_section_article1!$C$3:$C$962,D373)</f>
        <v>#VALUE!</v>
      </c>
      <c r="G373" s="60" t="e">
        <f>SUMIFS([49]mensuel_section_article1!$G$3:$G$962,[49]mensuel_section_article1!$B$3:$B$962,C373,[49]mensuel_section_article1!$C$3:$C$962,D373)</f>
        <v>#VALUE!</v>
      </c>
      <c r="H373" s="60">
        <v>35296451.920000002</v>
      </c>
      <c r="I373" s="60">
        <v>35296451.899999999</v>
      </c>
      <c r="J373" s="60">
        <v>32907916.439999998</v>
      </c>
      <c r="K373" s="60">
        <f t="shared" si="203"/>
        <v>2388535.4800000042</v>
      </c>
      <c r="L373" s="61">
        <f t="shared" ref="L373:L382" si="206">+J373/H373</f>
        <v>0.93232930365313604</v>
      </c>
      <c r="M373" s="60"/>
      <c r="N373" s="24"/>
      <c r="O373" s="9"/>
      <c r="Q373" s="63"/>
      <c r="AK373" s="64"/>
      <c r="AL373" s="64"/>
      <c r="AM373" s="64"/>
      <c r="AN373" s="64"/>
      <c r="AO373" s="11">
        <v>1211216</v>
      </c>
      <c r="AP373" s="65" t="str">
        <f t="shared" si="204"/>
        <v>12112167</v>
      </c>
    </row>
    <row r="374" spans="1:42" s="62" customFormat="1" ht="27.75" customHeight="1" thickTop="1" thickBot="1" x14ac:dyDescent="0.3">
      <c r="A374" s="56" t="s">
        <v>22</v>
      </c>
      <c r="B374" s="56" t="s">
        <v>22</v>
      </c>
      <c r="C374" s="57">
        <f t="shared" si="201"/>
        <v>1211216</v>
      </c>
      <c r="D374" s="58">
        <v>9</v>
      </c>
      <c r="E374" s="59" t="str">
        <f t="shared" si="202"/>
        <v>AUTRES DEPENSES PUBLIQUES</v>
      </c>
      <c r="F374" s="60" t="e">
        <f>SUMIFS([49]mensuel_section_article1!$E$3:$E$962,[49]mensuel_section_article1!$B$3:$B$962,C374,[49]mensuel_section_article1!$C$3:$C$962,D374)</f>
        <v>#VALUE!</v>
      </c>
      <c r="G374" s="60" t="e">
        <f>SUMIFS([49]mensuel_section_article1!$G$3:$G$962,[49]mensuel_section_article1!$B$3:$B$962,C374,[49]mensuel_section_article1!$C$3:$C$962,D374)</f>
        <v>#VALUE!</v>
      </c>
      <c r="H374" s="60">
        <v>329999999.91999996</v>
      </c>
      <c r="I374" s="60">
        <v>310999999.89999998</v>
      </c>
      <c r="J374" s="60">
        <v>310013939.44</v>
      </c>
      <c r="K374" s="60">
        <f t="shared" si="203"/>
        <v>19986060.479999959</v>
      </c>
      <c r="L374" s="61">
        <f t="shared" si="206"/>
        <v>0.93943618034895437</v>
      </c>
      <c r="M374" s="60"/>
      <c r="N374" s="24"/>
      <c r="O374" s="9"/>
      <c r="Q374" s="63"/>
      <c r="AK374" s="64"/>
      <c r="AL374" s="64"/>
      <c r="AM374" s="64"/>
      <c r="AN374" s="64"/>
      <c r="AO374" s="11">
        <v>1211216</v>
      </c>
      <c r="AP374" s="65" t="str">
        <f t="shared" si="204"/>
        <v>12112169</v>
      </c>
    </row>
    <row r="375" spans="1:42" s="1" customFormat="1" ht="27.75" customHeight="1" thickTop="1" x14ac:dyDescent="0.25">
      <c r="A375" s="37" t="s">
        <v>16</v>
      </c>
      <c r="B375" s="37" t="s">
        <v>16</v>
      </c>
      <c r="C375" s="37" t="s">
        <v>16</v>
      </c>
      <c r="D375" s="73">
        <v>1212</v>
      </c>
      <c r="E375" s="94" t="s">
        <v>71</v>
      </c>
      <c r="F375" s="75" t="e">
        <f>SUMIF($B$377:$B$392,"section",F377:F392)</f>
        <v>#VALUE!</v>
      </c>
      <c r="G375" s="75" t="e">
        <f>SUMIF($B$377:$B$392,"section",G377:G392)</f>
        <v>#VALUE!</v>
      </c>
      <c r="H375" s="75">
        <f>SUMIF($B$377:$B$392,"section",H377:H392)</f>
        <v>109999943.95499998</v>
      </c>
      <c r="I375" s="75">
        <v>109999943.79999998</v>
      </c>
      <c r="J375" s="75">
        <f>SUMIF($B$377:$B$392,"section",J377:J392)</f>
        <v>109992771.83000001</v>
      </c>
      <c r="K375" s="75">
        <f>SUMIF($B$377:$B$392,"section",K377:K392)</f>
        <v>7172.1249999916181</v>
      </c>
      <c r="L375" s="76">
        <f t="shared" si="206"/>
        <v>0.99993479883041669</v>
      </c>
      <c r="M375" s="75"/>
      <c r="N375" s="75"/>
      <c r="O375" s="9"/>
      <c r="Q375" s="23"/>
      <c r="AK375" s="77"/>
      <c r="AL375" s="77"/>
      <c r="AM375" s="77"/>
      <c r="AN375" s="77"/>
      <c r="AO375" s="11"/>
    </row>
    <row r="376" spans="1:42" s="49" customFormat="1" ht="27.75" customHeight="1" x14ac:dyDescent="0.25">
      <c r="A376" s="43" t="s">
        <v>19</v>
      </c>
      <c r="B376" s="43" t="s">
        <v>19</v>
      </c>
      <c r="C376" s="43" t="s">
        <v>19</v>
      </c>
      <c r="D376" s="44">
        <v>12121</v>
      </c>
      <c r="E376" s="45" t="str">
        <f>VLOOKUP(D376,[49]INST!$A$1:$B$626,2,FALSE)</f>
        <v>SERVICES INTERNES</v>
      </c>
      <c r="F376" s="46" t="e">
        <f>SUMIF($B$376:$B$392,"section",F376:F392)</f>
        <v>#VALUE!</v>
      </c>
      <c r="G376" s="46" t="e">
        <f>SUMIF($B$376:$B$392,"section",G376:G392)</f>
        <v>#VALUE!</v>
      </c>
      <c r="H376" s="46">
        <f>SUMIF($B$376:$B$392,"section",H376:H392)</f>
        <v>109999943.95499998</v>
      </c>
      <c r="I376" s="46">
        <v>109999943.79999998</v>
      </c>
      <c r="J376" s="46">
        <f>SUMIF($B$376:$B$392,"section",J376:J392)</f>
        <v>109992771.83000001</v>
      </c>
      <c r="K376" s="46">
        <f>SUMIF($B$376:$B$392,"section",K376:K392)</f>
        <v>7172.1249999916181</v>
      </c>
      <c r="L376" s="47">
        <f t="shared" si="206"/>
        <v>0.99993479883041669</v>
      </c>
      <c r="M376" s="46"/>
      <c r="N376" s="46"/>
      <c r="O376" s="48"/>
      <c r="AO376" s="11"/>
    </row>
    <row r="377" spans="1:42" s="1" customFormat="1" ht="27.75" customHeight="1" thickBot="1" x14ac:dyDescent="0.3">
      <c r="A377" s="50" t="s">
        <v>20</v>
      </c>
      <c r="B377" s="50" t="s">
        <v>20</v>
      </c>
      <c r="C377" s="50" t="s">
        <v>20</v>
      </c>
      <c r="D377" s="51">
        <v>1212111</v>
      </c>
      <c r="E377" s="67" t="s">
        <v>21</v>
      </c>
      <c r="F377" s="68" t="e">
        <f>SUMIF($B$378:$B$384,"article",F378:F384)</f>
        <v>#VALUE!</v>
      </c>
      <c r="G377" s="68" t="e">
        <f>SUMIF($B$378:$B$384,"article",G378:G384)</f>
        <v>#VALUE!</v>
      </c>
      <c r="H377" s="68">
        <f>SUMIF($B$378:$B$384,"article",H378:H384)</f>
        <v>37799735.281999998</v>
      </c>
      <c r="I377" s="68">
        <v>39415011.210000001</v>
      </c>
      <c r="J377" s="68">
        <f>SUMIF($B$378:$B$384,"article",J378:J384)</f>
        <v>39409491.460000001</v>
      </c>
      <c r="K377" s="68">
        <f>SUMIF($B$378:$B$384,"article",K378:K384)</f>
        <v>-1609756.1779999994</v>
      </c>
      <c r="L377" s="69">
        <f t="shared" si="206"/>
        <v>1.0425864405131577</v>
      </c>
      <c r="M377" s="68"/>
      <c r="N377" s="68"/>
      <c r="O377" s="9"/>
      <c r="Q377" s="23"/>
      <c r="AK377" s="70"/>
      <c r="AL377" s="70"/>
      <c r="AM377" s="70"/>
      <c r="AN377" s="70"/>
      <c r="AO377" s="11">
        <v>1212111</v>
      </c>
    </row>
    <row r="378" spans="1:42" s="62" customFormat="1" ht="27.75" customHeight="1" thickTop="1" thickBot="1" x14ac:dyDescent="0.3">
      <c r="A378" s="56" t="s">
        <v>22</v>
      </c>
      <c r="B378" s="56" t="s">
        <v>22</v>
      </c>
      <c r="C378" s="57">
        <f t="shared" ref="C378:C384" si="207">IF(A377="SECTION",D377,C377)</f>
        <v>1212111</v>
      </c>
      <c r="D378" s="58">
        <v>1</v>
      </c>
      <c r="E378" s="59" t="str">
        <f t="shared" ref="E378:E384" si="208">IF(D378=1, "DEPENSES DE PERSONNEL",  +IF(D378=2,"DEPENSES DE SERVICES ET CHARGES DIVERSES", +IF(D378=3,"ACHATS DE BIENS DE CONSOMMATION ET PETITS MATERIELS",+IF(D378=4,"IMMOBILISATION CORPORELLE",+IF(D378=5,"IMMOBILISATION INCORPORELLE",+IF(D378=7,"SUBVENTIONS,QUOTES-PARTS ET CONTRIB.,ALLOC, INDEMNISATIONS",+IF(D378=8,"AMORTISSEMENT DE LA DETTE",+IF(D378=9,"AUTRES DEPENSES PUBLIQUES",0))))))))</f>
        <v>DEPENSES DE PERSONNEL</v>
      </c>
      <c r="F378" s="60" t="e">
        <f>SUMIFS([49]mensuel_section_article1!$E$3:$E$962,[49]mensuel_section_article1!$B$3:$B$962,C378,[49]mensuel_section_article1!$C$3:$C$962,D378)</f>
        <v>#VALUE!</v>
      </c>
      <c r="G378" s="60" t="e">
        <f>SUMIFS([49]mensuel_section_article1!$G$3:$G$962,[49]mensuel_section_article1!$B$3:$B$962,C378,[49]mensuel_section_article1!$C$3:$C$962,D378)</f>
        <v>#VALUE!</v>
      </c>
      <c r="H378" s="60">
        <v>20526400.120000001</v>
      </c>
      <c r="I378" s="60">
        <v>20648479.099999998</v>
      </c>
      <c r="J378" s="60">
        <v>20648446.649999999</v>
      </c>
      <c r="K378" s="60">
        <f t="shared" ref="K378:K384" si="209">+H378-J378</f>
        <v>-122046.52999999747</v>
      </c>
      <c r="L378" s="61">
        <f t="shared" si="206"/>
        <v>1.0059458321618255</v>
      </c>
      <c r="M378" s="60"/>
      <c r="N378" s="24"/>
      <c r="O378" s="9"/>
      <c r="Q378" s="63"/>
      <c r="AK378" s="64"/>
      <c r="AL378" s="64"/>
      <c r="AM378" s="64"/>
      <c r="AN378" s="64"/>
      <c r="AO378" s="11">
        <v>1212111</v>
      </c>
      <c r="AP378" s="65" t="str">
        <f t="shared" ref="AP378:AP384" si="210">CONCATENATE(AO378,D378)</f>
        <v>12121111</v>
      </c>
    </row>
    <row r="379" spans="1:42" s="62" customFormat="1" ht="27.75" customHeight="1" thickTop="1" thickBot="1" x14ac:dyDescent="0.3">
      <c r="A379" s="56" t="s">
        <v>22</v>
      </c>
      <c r="B379" s="56" t="s">
        <v>22</v>
      </c>
      <c r="C379" s="57">
        <f t="shared" si="207"/>
        <v>1212111</v>
      </c>
      <c r="D379" s="58">
        <v>2</v>
      </c>
      <c r="E379" s="59" t="str">
        <f t="shared" si="208"/>
        <v>DEPENSES DE SERVICES ET CHARGES DIVERSES</v>
      </c>
      <c r="F379" s="60" t="e">
        <f>SUMIFS([49]mensuel_section_article1!$E$3:$E$962,[49]mensuel_section_article1!$B$3:$B$962,C379,[49]mensuel_section_article1!$C$3:$C$962,D379)</f>
        <v>#VALUE!</v>
      </c>
      <c r="G379" s="60" t="e">
        <f>SUMIFS([49]mensuel_section_article1!$G$3:$G$962,[49]mensuel_section_article1!$B$3:$B$962,C379,[49]mensuel_section_article1!$C$3:$C$962,D379)</f>
        <v>#VALUE!</v>
      </c>
      <c r="H379" s="60">
        <v>10336361.539999999</v>
      </c>
      <c r="I379" s="60">
        <v>10539401.02</v>
      </c>
      <c r="J379" s="60">
        <v>10539271.550000001</v>
      </c>
      <c r="K379" s="60">
        <f t="shared" si="209"/>
        <v>-202910.01000000164</v>
      </c>
      <c r="L379" s="61">
        <f t="shared" si="206"/>
        <v>1.0196306997597533</v>
      </c>
      <c r="M379" s="60"/>
      <c r="N379" s="24"/>
      <c r="O379" s="9"/>
      <c r="Q379" s="63"/>
      <c r="AK379" s="64"/>
      <c r="AL379" s="64"/>
      <c r="AM379" s="64"/>
      <c r="AN379" s="64"/>
      <c r="AO379" s="11">
        <v>1212111</v>
      </c>
      <c r="AP379" s="65" t="str">
        <f t="shared" si="210"/>
        <v>12121112</v>
      </c>
    </row>
    <row r="380" spans="1:42" s="62" customFormat="1" ht="27.75" customHeight="1" thickTop="1" thickBot="1" x14ac:dyDescent="0.3">
      <c r="A380" s="56" t="s">
        <v>22</v>
      </c>
      <c r="B380" s="56" t="s">
        <v>22</v>
      </c>
      <c r="C380" s="57">
        <f t="shared" si="207"/>
        <v>1212111</v>
      </c>
      <c r="D380" s="58">
        <v>3</v>
      </c>
      <c r="E380" s="59" t="str">
        <f t="shared" si="208"/>
        <v>ACHATS DE BIENS DE CONSOMMATION ET PETITS MATERIELS</v>
      </c>
      <c r="F380" s="60" t="e">
        <f>SUMIFS([49]mensuel_section_article1!$E$3:$E$962,[49]mensuel_section_article1!$B$3:$B$962,C380,[49]mensuel_section_article1!$C$3:$C$962,D380)</f>
        <v>#VALUE!</v>
      </c>
      <c r="G380" s="60" t="e">
        <f>SUMIFS([49]mensuel_section_article1!$G$3:$G$962,[49]mensuel_section_article1!$B$3:$B$962,C380,[49]mensuel_section_article1!$C$3:$C$962,D380)</f>
        <v>#VALUE!</v>
      </c>
      <c r="H380" s="60">
        <v>1999999.5</v>
      </c>
      <c r="I380" s="60">
        <v>4471875.99</v>
      </c>
      <c r="J380" s="60">
        <v>4471758.26</v>
      </c>
      <c r="K380" s="60">
        <f t="shared" si="209"/>
        <v>-2471758.7599999998</v>
      </c>
      <c r="L380" s="61">
        <f t="shared" si="206"/>
        <v>2.2358796889699222</v>
      </c>
      <c r="M380" s="60"/>
      <c r="N380" s="24"/>
      <c r="O380" s="9"/>
      <c r="Q380" s="63"/>
      <c r="AK380" s="64"/>
      <c r="AL380" s="64"/>
      <c r="AM380" s="64"/>
      <c r="AN380" s="64"/>
      <c r="AO380" s="11">
        <v>1212111</v>
      </c>
      <c r="AP380" s="65" t="str">
        <f t="shared" si="210"/>
        <v>12121113</v>
      </c>
    </row>
    <row r="381" spans="1:42" s="62" customFormat="1" ht="27.75" customHeight="1" thickTop="1" thickBot="1" x14ac:dyDescent="0.3">
      <c r="A381" s="56" t="s">
        <v>22</v>
      </c>
      <c r="B381" s="56" t="s">
        <v>22</v>
      </c>
      <c r="C381" s="57">
        <f t="shared" si="207"/>
        <v>1212111</v>
      </c>
      <c r="D381" s="58">
        <v>4</v>
      </c>
      <c r="E381" s="59" t="str">
        <f t="shared" si="208"/>
        <v>IMMOBILISATION CORPORELLE</v>
      </c>
      <c r="F381" s="60" t="e">
        <f>SUMIFS([49]mensuel_section_article1!$E$3:$E$962,[49]mensuel_section_article1!$B$3:$B$962,C381,[49]mensuel_section_article1!$C$3:$C$962,D381)</f>
        <v>#VALUE!</v>
      </c>
      <c r="G381" s="60" t="e">
        <f>SUMIFS([49]mensuel_section_article1!$G$3:$G$962,[49]mensuel_section_article1!$B$3:$B$962,C381,[49]mensuel_section_article1!$C$3:$C$962,D381)</f>
        <v>#VALUE!</v>
      </c>
      <c r="H381" s="60">
        <v>3379447.92</v>
      </c>
      <c r="I381" s="60">
        <v>3755236.9</v>
      </c>
      <c r="J381" s="60">
        <v>3750015</v>
      </c>
      <c r="K381" s="60">
        <f t="shared" si="209"/>
        <v>-370567.08000000007</v>
      </c>
      <c r="L381" s="61">
        <f t="shared" si="206"/>
        <v>1.1096531412148527</v>
      </c>
      <c r="M381" s="60"/>
      <c r="N381" s="24"/>
      <c r="O381" s="9"/>
      <c r="Q381" s="63"/>
      <c r="AK381" s="64"/>
      <c r="AL381" s="64"/>
      <c r="AM381" s="64"/>
      <c r="AN381" s="64"/>
      <c r="AO381" s="11">
        <v>1212111</v>
      </c>
      <c r="AP381" s="65" t="str">
        <f t="shared" si="210"/>
        <v>12121114</v>
      </c>
    </row>
    <row r="382" spans="1:42" s="62" customFormat="1" ht="27.75" customHeight="1" thickTop="1" thickBot="1" x14ac:dyDescent="0.3">
      <c r="A382" s="56" t="s">
        <v>22</v>
      </c>
      <c r="B382" s="56" t="s">
        <v>22</v>
      </c>
      <c r="C382" s="57">
        <f t="shared" si="207"/>
        <v>1212111</v>
      </c>
      <c r="D382" s="58">
        <v>5</v>
      </c>
      <c r="E382" s="59" t="str">
        <f t="shared" si="208"/>
        <v>IMMOBILISATION INCORPORELLE</v>
      </c>
      <c r="F382" s="60" t="e">
        <f>SUMIFS([49]mensuel_section_article1!$E$3:$E$962,[49]mensuel_section_article1!$B$3:$B$962,C382,[49]mensuel_section_article1!$C$3:$C$962,D382)</f>
        <v>#VALUE!</v>
      </c>
      <c r="G382" s="60" t="e">
        <f>SUMIFS([49]mensuel_section_article1!$G$3:$G$962,[49]mensuel_section_article1!$B$3:$B$962,C382,[49]mensuel_section_article1!$C$3:$C$962,D382)</f>
        <v>#VALUE!</v>
      </c>
      <c r="H382" s="60">
        <v>100000</v>
      </c>
      <c r="I382" s="60">
        <v>10</v>
      </c>
      <c r="J382" s="60">
        <v>0</v>
      </c>
      <c r="K382" s="60">
        <f t="shared" si="209"/>
        <v>100000</v>
      </c>
      <c r="L382" s="61">
        <f t="shared" si="206"/>
        <v>0</v>
      </c>
      <c r="M382" s="60"/>
      <c r="N382" s="24"/>
      <c r="O382" s="9"/>
      <c r="Q382" s="63"/>
      <c r="AK382" s="64"/>
      <c r="AL382" s="64"/>
      <c r="AM382" s="64"/>
      <c r="AN382" s="64"/>
      <c r="AO382" s="11">
        <v>1212111</v>
      </c>
      <c r="AP382" s="65" t="str">
        <f t="shared" si="210"/>
        <v>12121115</v>
      </c>
    </row>
    <row r="383" spans="1:42" s="62" customFormat="1" ht="27.75" hidden="1" customHeight="1" thickTop="1" thickBot="1" x14ac:dyDescent="0.3">
      <c r="A383" s="56" t="s">
        <v>22</v>
      </c>
      <c r="B383" s="56" t="s">
        <v>22</v>
      </c>
      <c r="C383" s="57">
        <f t="shared" si="207"/>
        <v>1212111</v>
      </c>
      <c r="D383" s="58">
        <v>7</v>
      </c>
      <c r="E383" s="59" t="str">
        <f t="shared" si="208"/>
        <v>SUBVENTIONS,QUOTES-PARTS ET CONTRIB.,ALLOC, INDEMNISATIONS</v>
      </c>
      <c r="F383" s="60" t="e">
        <f>SUMIFS([49]mensuel_section_article1!$E$3:$E$962,[49]mensuel_section_article1!$B$3:$B$962,C383,[49]mensuel_section_article1!$C$3:$C$962,D383)</f>
        <v>#VALUE!</v>
      </c>
      <c r="G383" s="60" t="e">
        <f>SUMIFS([49]mensuel_section_article1!$G$3:$G$962,[49]mensuel_section_article1!$B$3:$B$962,C383,[49]mensuel_section_article1!$C$3:$C$962,D383)</f>
        <v>#VALUE!</v>
      </c>
      <c r="H383" s="60">
        <v>0</v>
      </c>
      <c r="I383" s="60">
        <v>0</v>
      </c>
      <c r="J383" s="60">
        <v>0</v>
      </c>
      <c r="K383" s="60">
        <f t="shared" si="209"/>
        <v>0</v>
      </c>
      <c r="L383" s="61" t="e">
        <f>IF(F383&lt;&gt;0,K383/F383,0)</f>
        <v>#VALUE!</v>
      </c>
      <c r="M383" s="60" t="e">
        <f>+SUMIFS([51]section_article!$H$10:$H$936,[51]section_article!$C$10:$C$936,C383,[51]section_article!$D$10:$D$936,D383)</f>
        <v>#VALUE!</v>
      </c>
      <c r="N383" s="24" t="e">
        <f t="shared" ref="N378:N384" si="211">+J383-M383</f>
        <v>#VALUE!</v>
      </c>
      <c r="O383" s="9"/>
      <c r="Q383" s="63"/>
      <c r="AK383" s="64"/>
      <c r="AL383" s="64"/>
      <c r="AM383" s="64"/>
      <c r="AN383" s="64"/>
      <c r="AO383" s="11">
        <v>1212111</v>
      </c>
      <c r="AP383" s="65" t="str">
        <f t="shared" si="210"/>
        <v>12121117</v>
      </c>
    </row>
    <row r="384" spans="1:42" s="62" customFormat="1" ht="27.75" customHeight="1" thickTop="1" thickBot="1" x14ac:dyDescent="0.3">
      <c r="A384" s="56" t="s">
        <v>22</v>
      </c>
      <c r="B384" s="56" t="s">
        <v>22</v>
      </c>
      <c r="C384" s="57">
        <f t="shared" si="207"/>
        <v>1212111</v>
      </c>
      <c r="D384" s="58">
        <v>9</v>
      </c>
      <c r="E384" s="59" t="str">
        <f t="shared" si="208"/>
        <v>AUTRES DEPENSES PUBLIQUES</v>
      </c>
      <c r="F384" s="60" t="e">
        <f>SUMIFS([49]mensuel_section_article1!$E$3:$E$962,[49]mensuel_section_article1!$B$3:$B$962,C384,[49]mensuel_section_article1!$C$3:$C$962,D384)</f>
        <v>#VALUE!</v>
      </c>
      <c r="G384" s="60" t="e">
        <f>SUMIFS([49]mensuel_section_article1!$G$3:$G$962,[49]mensuel_section_article1!$B$3:$B$962,C384,[49]mensuel_section_article1!$C$3:$C$962,D384)</f>
        <v>#VALUE!</v>
      </c>
      <c r="H384" s="60">
        <v>1457526.2019999996</v>
      </c>
      <c r="I384" s="60">
        <v>8.1999999999999993</v>
      </c>
      <c r="J384" s="60">
        <v>0</v>
      </c>
      <c r="K384" s="60">
        <f t="shared" si="209"/>
        <v>1457526.2019999996</v>
      </c>
      <c r="L384" s="61">
        <f t="shared" ref="L384:L389" si="212">+J384/H384</f>
        <v>0</v>
      </c>
      <c r="M384" s="60"/>
      <c r="N384" s="24"/>
      <c r="O384" s="9"/>
      <c r="Q384" s="63"/>
      <c r="AK384" s="64"/>
      <c r="AL384" s="64"/>
      <c r="AM384" s="64"/>
      <c r="AN384" s="64"/>
      <c r="AO384" s="11">
        <v>1212111</v>
      </c>
      <c r="AP384" s="65" t="str">
        <f t="shared" si="210"/>
        <v>12121119</v>
      </c>
    </row>
    <row r="385" spans="1:42" s="1" customFormat="1" ht="27.75" customHeight="1" thickTop="1" thickBot="1" x14ac:dyDescent="0.3">
      <c r="A385" s="50" t="s">
        <v>20</v>
      </c>
      <c r="B385" s="50" t="s">
        <v>20</v>
      </c>
      <c r="C385" s="50" t="s">
        <v>20</v>
      </c>
      <c r="D385" s="51">
        <v>1212112</v>
      </c>
      <c r="E385" s="67" t="s">
        <v>23</v>
      </c>
      <c r="F385" s="68" t="e">
        <f>SUMIF($B$386:$B$392,"article",F386:F392)</f>
        <v>#VALUE!</v>
      </c>
      <c r="G385" s="68" t="e">
        <f>SUMIF($B$386:$B$392,"article",G386:G392)</f>
        <v>#VALUE!</v>
      </c>
      <c r="H385" s="68">
        <f>SUMIF($B$386:$B$392,"article",H386:H392)</f>
        <v>72200208.672999993</v>
      </c>
      <c r="I385" s="68">
        <v>70584932.589999989</v>
      </c>
      <c r="J385" s="68">
        <f>SUMIF($B$386:$B$392,"article",J386:J392)</f>
        <v>70583280.370000005</v>
      </c>
      <c r="K385" s="68">
        <f>SUMIF($B$386:$B$392,"article",K386:K392)</f>
        <v>1616928.302999991</v>
      </c>
      <c r="L385" s="69">
        <f t="shared" si="212"/>
        <v>0.97760493587597264</v>
      </c>
      <c r="M385" s="68"/>
      <c r="N385" s="68"/>
      <c r="O385" s="9"/>
      <c r="Q385" s="23"/>
      <c r="AK385" s="70"/>
      <c r="AL385" s="70"/>
      <c r="AM385" s="70"/>
      <c r="AN385" s="70"/>
      <c r="AO385" s="11">
        <v>1212112</v>
      </c>
    </row>
    <row r="386" spans="1:42" s="62" customFormat="1" ht="27.75" customHeight="1" thickTop="1" thickBot="1" x14ac:dyDescent="0.3">
      <c r="A386" s="56" t="s">
        <v>22</v>
      </c>
      <c r="B386" s="56" t="s">
        <v>22</v>
      </c>
      <c r="C386" s="57">
        <f t="shared" ref="C386:C392" si="213">IF(A385="SECTION",D385,C385)</f>
        <v>1212112</v>
      </c>
      <c r="D386" s="58">
        <v>1</v>
      </c>
      <c r="E386" s="59" t="str">
        <f t="shared" ref="E386:E392" si="214">IF(D386=1, "DEPENSES DE PERSONNEL",  +IF(D386=2,"DEPENSES DE SERVICES ET CHARGES DIVERSES", +IF(D386=3,"ACHATS DE BIENS DE CONSOMMATION ET PETITS MATERIELS",+IF(D386=4,"IMMOBILISATION CORPORELLE",+IF(D386=5,"IMMOBILISATION INCORPORELLE",+IF(D386=7,"SUBVENTIONS,QUOTES-PARTS ET CONTRIB.,ALLOC, INDEMNISATIONS",+IF(D386=8,"AMORTISSEMENT DE LA DETTE",+IF(D386=9,"AUTRES DEPENSES PUBLIQUES",0))))))))</f>
        <v>DEPENSES DE PERSONNEL</v>
      </c>
      <c r="F386" s="60" t="e">
        <f>SUMIFS([49]mensuel_section_article1!$E$3:$E$962,[49]mensuel_section_article1!$B$3:$B$962,C386,[49]mensuel_section_article1!$C$3:$C$962,D386)</f>
        <v>#VALUE!</v>
      </c>
      <c r="G386" s="60" t="e">
        <f>SUMIFS([49]mensuel_section_article1!$G$3:$G$962,[49]mensuel_section_article1!$B$3:$B$962,C386,[49]mensuel_section_article1!$C$3:$C$962,D386)</f>
        <v>#VALUE!</v>
      </c>
      <c r="H386" s="60">
        <v>54653426.439999998</v>
      </c>
      <c r="I386" s="60">
        <v>54531347.399999999</v>
      </c>
      <c r="J386" s="60">
        <v>54530631.040000007</v>
      </c>
      <c r="K386" s="60">
        <f t="shared" ref="K386:K392" si="215">+H386-J386</f>
        <v>122795.39999999106</v>
      </c>
      <c r="L386" s="61">
        <f t="shared" si="212"/>
        <v>0.99775319850924993</v>
      </c>
      <c r="M386" s="60"/>
      <c r="N386" s="24"/>
      <c r="O386" s="9"/>
      <c r="Q386" s="63"/>
      <c r="AK386" s="64"/>
      <c r="AL386" s="64"/>
      <c r="AM386" s="64"/>
      <c r="AN386" s="64"/>
      <c r="AO386" s="11">
        <v>1212112</v>
      </c>
      <c r="AP386" s="65" t="str">
        <f t="shared" ref="AP386:AP392" si="216">CONCATENATE(AO386,D386)</f>
        <v>12121121</v>
      </c>
    </row>
    <row r="387" spans="1:42" s="62" customFormat="1" ht="27.75" customHeight="1" thickTop="1" thickBot="1" x14ac:dyDescent="0.3">
      <c r="A387" s="56" t="s">
        <v>22</v>
      </c>
      <c r="B387" s="56" t="s">
        <v>22</v>
      </c>
      <c r="C387" s="57">
        <f t="shared" si="213"/>
        <v>1212112</v>
      </c>
      <c r="D387" s="58">
        <v>2</v>
      </c>
      <c r="E387" s="59" t="str">
        <f t="shared" si="214"/>
        <v>DEPENSES DE SERVICES ET CHARGES DIVERSES</v>
      </c>
      <c r="F387" s="60" t="e">
        <f>SUMIFS([49]mensuel_section_article1!$E$3:$E$962,[49]mensuel_section_article1!$B$3:$B$962,C387,[49]mensuel_section_article1!$C$3:$C$962,D387)</f>
        <v>#VALUE!</v>
      </c>
      <c r="G387" s="60" t="e">
        <f>SUMIFS([49]mensuel_section_article1!$G$3:$G$962,[49]mensuel_section_article1!$B$3:$B$962,C387,[49]mensuel_section_article1!$C$3:$C$962,D387)</f>
        <v>#VALUE!</v>
      </c>
      <c r="H387" s="60">
        <v>5081773.8729999997</v>
      </c>
      <c r="I387" s="60">
        <v>2044374.91</v>
      </c>
      <c r="J387" s="60">
        <v>2044331.83</v>
      </c>
      <c r="K387" s="60">
        <f t="shared" si="215"/>
        <v>3037442.0429999996</v>
      </c>
      <c r="L387" s="61">
        <f t="shared" si="212"/>
        <v>0.40228705194100639</v>
      </c>
      <c r="M387" s="60"/>
      <c r="N387" s="24"/>
      <c r="O387" s="9"/>
      <c r="Q387" s="63"/>
      <c r="AK387" s="64"/>
      <c r="AL387" s="64"/>
      <c r="AM387" s="64"/>
      <c r="AN387" s="64"/>
      <c r="AO387" s="11">
        <v>1212112</v>
      </c>
      <c r="AP387" s="65" t="str">
        <f t="shared" si="216"/>
        <v>12121122</v>
      </c>
    </row>
    <row r="388" spans="1:42" s="62" customFormat="1" ht="27.75" customHeight="1" thickTop="1" thickBot="1" x14ac:dyDescent="0.3">
      <c r="A388" s="56" t="s">
        <v>22</v>
      </c>
      <c r="B388" s="56" t="s">
        <v>22</v>
      </c>
      <c r="C388" s="57">
        <f t="shared" si="213"/>
        <v>1212112</v>
      </c>
      <c r="D388" s="58">
        <v>3</v>
      </c>
      <c r="E388" s="59" t="str">
        <f t="shared" si="214"/>
        <v>ACHATS DE BIENS DE CONSOMMATION ET PETITS MATERIELS</v>
      </c>
      <c r="F388" s="60" t="e">
        <f>SUMIFS([49]mensuel_section_article1!$E$3:$E$962,[49]mensuel_section_article1!$B$3:$B$962,C388,[49]mensuel_section_article1!$C$3:$C$962,D388)</f>
        <v>#VALUE!</v>
      </c>
      <c r="G388" s="60" t="e">
        <f>SUMIFS([49]mensuel_section_article1!$G$3:$G$962,[49]mensuel_section_article1!$B$3:$B$962,C388,[49]mensuel_section_article1!$C$3:$C$962,D388)</f>
        <v>#VALUE!</v>
      </c>
      <c r="H388" s="60">
        <v>4965064.41</v>
      </c>
      <c r="I388" s="60">
        <v>6785065.3799999999</v>
      </c>
      <c r="J388" s="60">
        <v>6784469.5</v>
      </c>
      <c r="K388" s="60">
        <f t="shared" si="215"/>
        <v>-1819405.0899999999</v>
      </c>
      <c r="L388" s="61">
        <f t="shared" si="212"/>
        <v>1.3664413872125376</v>
      </c>
      <c r="M388" s="60"/>
      <c r="N388" s="24"/>
      <c r="O388" s="9"/>
      <c r="Q388" s="63"/>
      <c r="AK388" s="64"/>
      <c r="AL388" s="64"/>
      <c r="AM388" s="64"/>
      <c r="AN388" s="64"/>
      <c r="AO388" s="11">
        <v>1212112</v>
      </c>
      <c r="AP388" s="65" t="str">
        <f t="shared" si="216"/>
        <v>12121123</v>
      </c>
    </row>
    <row r="389" spans="1:42" s="62" customFormat="1" ht="27.75" customHeight="1" thickTop="1" thickBot="1" x14ac:dyDescent="0.3">
      <c r="A389" s="56" t="s">
        <v>22</v>
      </c>
      <c r="B389" s="56" t="s">
        <v>22</v>
      </c>
      <c r="C389" s="57">
        <f t="shared" si="213"/>
        <v>1212112</v>
      </c>
      <c r="D389" s="58">
        <v>4</v>
      </c>
      <c r="E389" s="59" t="str">
        <f t="shared" si="214"/>
        <v>IMMOBILISATION CORPORELLE</v>
      </c>
      <c r="F389" s="60" t="e">
        <f>SUMIFS([49]mensuel_section_article1!$E$3:$E$962,[49]mensuel_section_article1!$B$3:$B$962,C389,[49]mensuel_section_article1!$C$3:$C$962,D389)</f>
        <v>#VALUE!</v>
      </c>
      <c r="G389" s="60" t="e">
        <f>SUMIFS([49]mensuel_section_article1!$G$3:$G$962,[49]mensuel_section_article1!$B$3:$B$962,C389,[49]mensuel_section_article1!$C$3:$C$962,D389)</f>
        <v>#VALUE!</v>
      </c>
      <c r="H389" s="60">
        <v>7499943.8379999995</v>
      </c>
      <c r="I389" s="60">
        <v>7224144.7999999998</v>
      </c>
      <c r="J389" s="60">
        <v>7223848</v>
      </c>
      <c r="K389" s="60">
        <f t="shared" si="215"/>
        <v>276095.83799999952</v>
      </c>
      <c r="L389" s="61">
        <f t="shared" si="212"/>
        <v>0.96318694593403442</v>
      </c>
      <c r="M389" s="60"/>
      <c r="N389" s="24"/>
      <c r="O389" s="9"/>
      <c r="Q389" s="63"/>
      <c r="AK389" s="64"/>
      <c r="AL389" s="64"/>
      <c r="AM389" s="64"/>
      <c r="AN389" s="64"/>
      <c r="AO389" s="11">
        <v>1212112</v>
      </c>
      <c r="AP389" s="65" t="str">
        <f t="shared" si="216"/>
        <v>12121124</v>
      </c>
    </row>
    <row r="390" spans="1:42" s="62" customFormat="1" ht="27.75" hidden="1" customHeight="1" thickTop="1" thickBot="1" x14ac:dyDescent="0.3">
      <c r="A390" s="56" t="s">
        <v>22</v>
      </c>
      <c r="B390" s="56" t="s">
        <v>22</v>
      </c>
      <c r="C390" s="57">
        <f t="shared" si="213"/>
        <v>1212112</v>
      </c>
      <c r="D390" s="58">
        <v>5</v>
      </c>
      <c r="E390" s="59" t="str">
        <f t="shared" si="214"/>
        <v>IMMOBILISATION INCORPORELLE</v>
      </c>
      <c r="F390" s="60" t="e">
        <f>SUMIFS([49]mensuel_section_article1!$E$3:$E$962,[49]mensuel_section_article1!$B$3:$B$962,C390,[49]mensuel_section_article1!$C$3:$C$962,D390)</f>
        <v>#VALUE!</v>
      </c>
      <c r="G390" s="60" t="e">
        <f>SUMIFS([49]mensuel_section_article1!$G$3:$G$962,[49]mensuel_section_article1!$B$3:$B$962,C390,[49]mensuel_section_article1!$C$3:$C$962,D390)</f>
        <v>#VALUE!</v>
      </c>
      <c r="H390" s="60">
        <v>0</v>
      </c>
      <c r="I390" s="60">
        <v>0</v>
      </c>
      <c r="J390" s="60">
        <v>0</v>
      </c>
      <c r="K390" s="60">
        <f t="shared" si="215"/>
        <v>0</v>
      </c>
      <c r="L390" s="61" t="e">
        <f>IF(F390&lt;&gt;0,K390/F390,0)</f>
        <v>#VALUE!</v>
      </c>
      <c r="M390" s="60" t="e">
        <f>+SUMIFS([51]section_article!$H$10:$H$936,[51]section_article!$C$10:$C$936,C390,[51]section_article!$D$10:$D$936,D390)</f>
        <v>#VALUE!</v>
      </c>
      <c r="N390" s="24" t="e">
        <f t="shared" ref="N386:N392" si="217">+J390-M390</f>
        <v>#VALUE!</v>
      </c>
      <c r="O390" s="9"/>
      <c r="Q390" s="63"/>
      <c r="AK390" s="64"/>
      <c r="AL390" s="64"/>
      <c r="AM390" s="64"/>
      <c r="AN390" s="64"/>
      <c r="AO390" s="11">
        <v>1212112</v>
      </c>
      <c r="AP390" s="65" t="str">
        <f t="shared" si="216"/>
        <v>12121125</v>
      </c>
    </row>
    <row r="391" spans="1:42" s="62" customFormat="1" ht="27.75" hidden="1" customHeight="1" thickTop="1" thickBot="1" x14ac:dyDescent="0.3">
      <c r="A391" s="56" t="s">
        <v>22</v>
      </c>
      <c r="B391" s="56" t="s">
        <v>22</v>
      </c>
      <c r="C391" s="57">
        <f t="shared" si="213"/>
        <v>1212112</v>
      </c>
      <c r="D391" s="58">
        <v>7</v>
      </c>
      <c r="E391" s="59" t="str">
        <f t="shared" si="214"/>
        <v>SUBVENTIONS,QUOTES-PARTS ET CONTRIB.,ALLOC, INDEMNISATIONS</v>
      </c>
      <c r="F391" s="60" t="e">
        <f>SUMIFS([49]mensuel_section_article1!$E$3:$E$962,[49]mensuel_section_article1!$B$3:$B$962,C391,[49]mensuel_section_article1!$C$3:$C$962,D391)</f>
        <v>#VALUE!</v>
      </c>
      <c r="G391" s="60" t="e">
        <f>SUMIFS([49]mensuel_section_article1!$G$3:$G$962,[49]mensuel_section_article1!$B$3:$B$962,C391,[49]mensuel_section_article1!$C$3:$C$962,D391)</f>
        <v>#VALUE!</v>
      </c>
      <c r="H391" s="60">
        <v>0</v>
      </c>
      <c r="I391" s="60">
        <v>0</v>
      </c>
      <c r="J391" s="60">
        <v>0</v>
      </c>
      <c r="K391" s="60">
        <f t="shared" si="215"/>
        <v>0</v>
      </c>
      <c r="L391" s="61" t="e">
        <f>IF(F391&lt;&gt;0,K391/F391,0)</f>
        <v>#VALUE!</v>
      </c>
      <c r="M391" s="60" t="e">
        <f>+SUMIFS([51]section_article!$H$10:$H$936,[51]section_article!$C$10:$C$936,C391,[51]section_article!$D$10:$D$936,D391)</f>
        <v>#VALUE!</v>
      </c>
      <c r="N391" s="24" t="e">
        <f t="shared" si="217"/>
        <v>#VALUE!</v>
      </c>
      <c r="O391" s="9"/>
      <c r="Q391" s="66"/>
      <c r="AK391" s="64"/>
      <c r="AL391" s="64"/>
      <c r="AM391" s="64"/>
      <c r="AN391" s="64"/>
      <c r="AO391" s="11">
        <v>1212112</v>
      </c>
      <c r="AP391" s="65" t="str">
        <f t="shared" si="216"/>
        <v>12121127</v>
      </c>
    </row>
    <row r="392" spans="1:42" s="62" customFormat="1" ht="27.75" hidden="1" customHeight="1" thickTop="1" thickBot="1" x14ac:dyDescent="0.3">
      <c r="A392" s="56" t="s">
        <v>22</v>
      </c>
      <c r="B392" s="56" t="s">
        <v>22</v>
      </c>
      <c r="C392" s="57">
        <f t="shared" si="213"/>
        <v>1212112</v>
      </c>
      <c r="D392" s="58">
        <v>9</v>
      </c>
      <c r="E392" s="59" t="str">
        <f t="shared" si="214"/>
        <v>AUTRES DEPENSES PUBLIQUES</v>
      </c>
      <c r="F392" s="60" t="e">
        <f>SUMIFS([49]mensuel_section_article1!$E$3:$E$962,[49]mensuel_section_article1!$B$3:$B$962,C392,[49]mensuel_section_article1!$C$3:$C$962,D392)</f>
        <v>#VALUE!</v>
      </c>
      <c r="G392" s="60" t="e">
        <f>SUMIFS([49]mensuel_section_article1!$G$3:$G$962,[49]mensuel_section_article1!$B$3:$B$962,C392,[49]mensuel_section_article1!$C$3:$C$962,D392)</f>
        <v>#VALUE!</v>
      </c>
      <c r="H392" s="60">
        <v>0.11200000066310167</v>
      </c>
      <c r="I392" s="60">
        <v>0.1</v>
      </c>
      <c r="J392" s="60">
        <v>0</v>
      </c>
      <c r="K392" s="60">
        <f t="shared" si="215"/>
        <v>0.11200000066310167</v>
      </c>
      <c r="L392" s="61" t="e">
        <f>IF(F392&lt;&gt;0,K392/F392,0)</f>
        <v>#VALUE!</v>
      </c>
      <c r="M392" s="60" t="e">
        <f>+SUMIFS([51]section_article!$H$10:$H$936,[51]section_article!$C$10:$C$936,C392,[51]section_article!$D$10:$D$936,D392)</f>
        <v>#VALUE!</v>
      </c>
      <c r="N392" s="24" t="e">
        <f t="shared" si="217"/>
        <v>#VALUE!</v>
      </c>
      <c r="O392" s="9"/>
      <c r="Q392" s="63"/>
      <c r="AK392" s="64"/>
      <c r="AL392" s="64"/>
      <c r="AM392" s="64"/>
      <c r="AN392" s="64"/>
      <c r="AO392" s="11">
        <v>1212112</v>
      </c>
      <c r="AP392" s="65" t="str">
        <f t="shared" si="216"/>
        <v>12121129</v>
      </c>
    </row>
    <row r="393" spans="1:42" s="1" customFormat="1" ht="27.75" customHeight="1" thickTop="1" x14ac:dyDescent="0.25">
      <c r="A393" s="37" t="s">
        <v>16</v>
      </c>
      <c r="B393" s="37" t="s">
        <v>16</v>
      </c>
      <c r="C393" s="37" t="s">
        <v>16</v>
      </c>
      <c r="D393" s="73">
        <v>1213</v>
      </c>
      <c r="E393" s="74" t="s">
        <v>72</v>
      </c>
      <c r="F393" s="75" t="e">
        <f>SUMIF($B$394:$B$410,"chap",F394:F410)</f>
        <v>#VALUE!</v>
      </c>
      <c r="G393" s="75" t="e">
        <f>SUMIF($B$394:$B$410,"chap",G394:G410)</f>
        <v>#VALUE!</v>
      </c>
      <c r="H393" s="75">
        <f>SUMIF($B$394:$B$410,"chap",H394:H410)</f>
        <v>3570076022.4960957</v>
      </c>
      <c r="I393" s="75">
        <v>3795076022.5</v>
      </c>
      <c r="J393" s="75">
        <f>SUMIF($B$394:$B$410,"chap",J394:J410)</f>
        <v>3795045529.5300002</v>
      </c>
      <c r="K393" s="75">
        <f>SUMIF($B$394:$B$410,"chap",K394:K410)</f>
        <v>-224969507.03390467</v>
      </c>
      <c r="L393" s="76">
        <f>+J393/H393</f>
        <v>1.0630153267371074</v>
      </c>
      <c r="M393" s="75"/>
      <c r="N393" s="75"/>
      <c r="O393" s="9"/>
      <c r="Q393" s="23"/>
      <c r="AK393" s="77"/>
      <c r="AL393" s="77"/>
      <c r="AM393" s="77"/>
      <c r="AN393" s="77"/>
      <c r="AO393" s="11"/>
    </row>
    <row r="394" spans="1:42" s="49" customFormat="1" ht="27.75" customHeight="1" x14ac:dyDescent="0.25">
      <c r="A394" s="43" t="s">
        <v>19</v>
      </c>
      <c r="B394" s="43" t="s">
        <v>19</v>
      </c>
      <c r="C394" s="43" t="s">
        <v>19</v>
      </c>
      <c r="D394" s="44">
        <v>12131</v>
      </c>
      <c r="E394" s="45" t="str">
        <f>VLOOKUP(D394,[49]INST!$A$1:$B$626,2,FALSE)</f>
        <v>SERVICES INTERNES</v>
      </c>
      <c r="F394" s="46" t="e">
        <f>SUMIF($B$395:$B$410,"section",F395:F410)</f>
        <v>#VALUE!</v>
      </c>
      <c r="G394" s="46" t="e">
        <f>SUMIF($B$395:$B$410,"section",G395:G410)</f>
        <v>#VALUE!</v>
      </c>
      <c r="H394" s="46">
        <f>SUMIF($B$395:$B$410,"section",H395:H410)</f>
        <v>3570076022.4960957</v>
      </c>
      <c r="I394" s="46">
        <v>3795076022.5</v>
      </c>
      <c r="J394" s="46">
        <f>SUMIF($B$395:$B$410,"section",J395:J410)</f>
        <v>3795045529.5300002</v>
      </c>
      <c r="K394" s="46">
        <f>SUMIF($B$395:$B$410,"section",K395:K410)</f>
        <v>-224969507.03390467</v>
      </c>
      <c r="L394" s="47">
        <f>+J394/H394</f>
        <v>1.0630153267371074</v>
      </c>
      <c r="M394" s="46"/>
      <c r="N394" s="46"/>
      <c r="O394" s="48"/>
      <c r="AO394" s="11"/>
    </row>
    <row r="395" spans="1:42" s="1" customFormat="1" ht="27.75" customHeight="1" thickBot="1" x14ac:dyDescent="0.3">
      <c r="A395" s="50" t="s">
        <v>20</v>
      </c>
      <c r="B395" s="50" t="s">
        <v>20</v>
      </c>
      <c r="C395" s="50" t="s">
        <v>20</v>
      </c>
      <c r="D395" s="51">
        <v>1213111</v>
      </c>
      <c r="E395" s="67" t="s">
        <v>21</v>
      </c>
      <c r="F395" s="68" t="e">
        <f>SUMIF($B$396:$B$402,"article",F396:F402)</f>
        <v>#VALUE!</v>
      </c>
      <c r="G395" s="68" t="e">
        <f>SUMIF($B$396:$B$402,"article",G396:G402)</f>
        <v>#VALUE!</v>
      </c>
      <c r="H395" s="68">
        <f>SUMIF($B$396:$B$402,"article",H396:H402)</f>
        <v>124994880.3761</v>
      </c>
      <c r="I395" s="68">
        <v>109484150.45000003</v>
      </c>
      <c r="J395" s="68">
        <f>SUMIF($B$396:$B$402,"article",J396:J402)</f>
        <v>109484042.98</v>
      </c>
      <c r="K395" s="68">
        <f>SUMIF($B$396:$B$402,"article",K396:K402)</f>
        <v>15510837.396100009</v>
      </c>
      <c r="L395" s="69">
        <f>+J395/H395</f>
        <v>0.87590821840519328</v>
      </c>
      <c r="M395" s="68"/>
      <c r="N395" s="68"/>
      <c r="O395" s="9"/>
      <c r="Q395" s="23"/>
      <c r="AK395" s="70"/>
      <c r="AL395" s="70"/>
      <c r="AM395" s="70"/>
      <c r="AN395" s="70"/>
      <c r="AO395" s="11">
        <v>1213111</v>
      </c>
    </row>
    <row r="396" spans="1:42" s="62" customFormat="1" ht="27.75" customHeight="1" thickTop="1" thickBot="1" x14ac:dyDescent="0.3">
      <c r="A396" s="56" t="s">
        <v>22</v>
      </c>
      <c r="B396" s="56" t="s">
        <v>22</v>
      </c>
      <c r="C396" s="57">
        <f t="shared" ref="C396:C402" si="218">IF(A395="SECTION",D395,C395)</f>
        <v>1213111</v>
      </c>
      <c r="D396" s="58">
        <v>1</v>
      </c>
      <c r="E396" s="59" t="str">
        <f t="shared" ref="E396:E402" si="219">IF(D396=1, "DEPENSES DE PERSONNEL",  +IF(D396=2,"DEPENSES DE SERVICES ET CHARGES DIVERSES", +IF(D396=3,"ACHATS DE BIENS DE CONSOMMATION ET PETITS MATERIELS",+IF(D396=4,"IMMOBILISATION CORPORELLE",+IF(D396=5,"IMMOBILISATION INCORPORELLE",+IF(D396=7,"SUBVENTIONS,QUOTES-PARTS ET CONTRIB.,ALLOC, INDEMNISATIONS",+IF(D396=8,"AMORTISSEMENT DE LA DETTE",+IF(D396=9,"AUTRES DEPENSES PUBLIQUES",0))))))))</f>
        <v>DEPENSES DE PERSONNEL</v>
      </c>
      <c r="F396" s="60" t="e">
        <f>SUMIFS([49]mensuel_section_article1!$E$3:$E$962,[49]mensuel_section_article1!$B$3:$B$962,C396,[49]mensuel_section_article1!$C$3:$C$962,D396)</f>
        <v>#VALUE!</v>
      </c>
      <c r="G396" s="60" t="e">
        <f>SUMIFS([49]mensuel_section_article1!$G$3:$G$962,[49]mensuel_section_article1!$B$3:$B$962,C396,[49]mensuel_section_article1!$C$3:$C$962,D396)</f>
        <v>#VALUE!</v>
      </c>
      <c r="H396" s="60">
        <v>113832266.27000001</v>
      </c>
      <c r="I396" s="60">
        <v>105199101.30000003</v>
      </c>
      <c r="J396" s="60">
        <v>105199085</v>
      </c>
      <c r="K396" s="60">
        <f t="shared" ref="K396:K402" si="220">+H396-J396</f>
        <v>8633181.2700000107</v>
      </c>
      <c r="L396" s="61">
        <f>+J396/H396</f>
        <v>0.92415875082796939</v>
      </c>
      <c r="M396" s="60"/>
      <c r="N396" s="24"/>
      <c r="O396" s="9"/>
      <c r="Q396" s="63"/>
      <c r="AK396" s="64"/>
      <c r="AL396" s="64"/>
      <c r="AM396" s="64"/>
      <c r="AN396" s="64"/>
      <c r="AO396" s="11">
        <v>1213111</v>
      </c>
      <c r="AP396" s="65" t="str">
        <f t="shared" ref="AP396:AP402" si="221">CONCATENATE(AO396,D396)</f>
        <v>12131111</v>
      </c>
    </row>
    <row r="397" spans="1:42" s="62" customFormat="1" ht="27.75" customHeight="1" thickTop="1" thickBot="1" x14ac:dyDescent="0.3">
      <c r="A397" s="56" t="s">
        <v>22</v>
      </c>
      <c r="B397" s="56" t="s">
        <v>22</v>
      </c>
      <c r="C397" s="57">
        <f t="shared" si="218"/>
        <v>1213111</v>
      </c>
      <c r="D397" s="58">
        <v>2</v>
      </c>
      <c r="E397" s="59" t="str">
        <f t="shared" si="219"/>
        <v>DEPENSES DE SERVICES ET CHARGES DIVERSES</v>
      </c>
      <c r="F397" s="60" t="e">
        <f>SUMIFS([49]mensuel_section_article1!$E$3:$E$962,[49]mensuel_section_article1!$B$3:$B$962,C397,[49]mensuel_section_article1!$C$3:$C$962,D397)</f>
        <v>#VALUE!</v>
      </c>
      <c r="G397" s="60" t="e">
        <f>SUMIFS([49]mensuel_section_article1!$G$3:$G$962,[49]mensuel_section_article1!$B$3:$B$962,C397,[49]mensuel_section_article1!$C$3:$C$962,D397)</f>
        <v>#VALUE!</v>
      </c>
      <c r="H397" s="60">
        <v>11162614.106099999</v>
      </c>
      <c r="I397" s="60">
        <v>4285049.1499999994</v>
      </c>
      <c r="J397" s="60">
        <v>4284957.9800000004</v>
      </c>
      <c r="K397" s="60">
        <f t="shared" si="220"/>
        <v>6877656.1260999981</v>
      </c>
      <c r="L397" s="61">
        <f>+J397/H397</f>
        <v>0.38386689168609822</v>
      </c>
      <c r="M397" s="60"/>
      <c r="N397" s="24"/>
      <c r="O397" s="9"/>
      <c r="Q397" s="63"/>
      <c r="AK397" s="64"/>
      <c r="AL397" s="64"/>
      <c r="AM397" s="64"/>
      <c r="AN397" s="64"/>
      <c r="AO397" s="11">
        <v>1213111</v>
      </c>
      <c r="AP397" s="65" t="str">
        <f t="shared" si="221"/>
        <v>12131112</v>
      </c>
    </row>
    <row r="398" spans="1:42" s="62" customFormat="1" ht="27.75" hidden="1" customHeight="1" thickTop="1" thickBot="1" x14ac:dyDescent="0.3">
      <c r="A398" s="56" t="s">
        <v>22</v>
      </c>
      <c r="B398" s="56" t="s">
        <v>22</v>
      </c>
      <c r="C398" s="57">
        <f t="shared" si="218"/>
        <v>1213111</v>
      </c>
      <c r="D398" s="58">
        <v>3</v>
      </c>
      <c r="E398" s="59" t="str">
        <f t="shared" si="219"/>
        <v>ACHATS DE BIENS DE CONSOMMATION ET PETITS MATERIELS</v>
      </c>
      <c r="F398" s="60" t="e">
        <f>SUMIFS([49]mensuel_section_article1!$E$3:$E$962,[49]mensuel_section_article1!$B$3:$B$962,C398,[49]mensuel_section_article1!$C$3:$C$962,D398)</f>
        <v>#VALUE!</v>
      </c>
      <c r="G398" s="60" t="e">
        <f>SUMIFS([49]mensuel_section_article1!$G$3:$G$962,[49]mensuel_section_article1!$B$3:$B$962,C398,[49]mensuel_section_article1!$C$3:$C$962,D398)</f>
        <v>#VALUE!</v>
      </c>
      <c r="H398" s="60">
        <v>0</v>
      </c>
      <c r="I398" s="60">
        <v>0</v>
      </c>
      <c r="J398" s="60">
        <v>0</v>
      </c>
      <c r="K398" s="60">
        <f t="shared" si="220"/>
        <v>0</v>
      </c>
      <c r="L398" s="61" t="e">
        <f>IF(F398&lt;&gt;0,K398/F398,0)</f>
        <v>#VALUE!</v>
      </c>
      <c r="M398" s="60" t="e">
        <f>+SUMIFS([51]section_article!$H$10:$H$936,[51]section_article!$C$10:$C$936,C398,[51]section_article!$D$10:$D$936,D398)</f>
        <v>#VALUE!</v>
      </c>
      <c r="N398" s="24" t="e">
        <f t="shared" ref="N396:N402" si="222">+J398-M398</f>
        <v>#VALUE!</v>
      </c>
      <c r="O398" s="9"/>
      <c r="Q398" s="63"/>
      <c r="AK398" s="64"/>
      <c r="AL398" s="64"/>
      <c r="AM398" s="64"/>
      <c r="AN398" s="64"/>
      <c r="AO398" s="11">
        <v>1213111</v>
      </c>
      <c r="AP398" s="65" t="str">
        <f t="shared" si="221"/>
        <v>12131113</v>
      </c>
    </row>
    <row r="399" spans="1:42" s="62" customFormat="1" ht="27.75" hidden="1" customHeight="1" thickTop="1" thickBot="1" x14ac:dyDescent="0.3">
      <c r="A399" s="56" t="s">
        <v>22</v>
      </c>
      <c r="B399" s="56" t="s">
        <v>22</v>
      </c>
      <c r="C399" s="57">
        <f t="shared" si="218"/>
        <v>1213111</v>
      </c>
      <c r="D399" s="58">
        <v>4</v>
      </c>
      <c r="E399" s="59" t="str">
        <f t="shared" si="219"/>
        <v>IMMOBILISATION CORPORELLE</v>
      </c>
      <c r="F399" s="60" t="e">
        <f>SUMIFS([49]mensuel_section_article1!$E$3:$E$962,[49]mensuel_section_article1!$B$3:$B$962,C399,[49]mensuel_section_article1!$C$3:$C$962,D399)</f>
        <v>#VALUE!</v>
      </c>
      <c r="G399" s="60" t="e">
        <f>SUMIFS([49]mensuel_section_article1!$G$3:$G$962,[49]mensuel_section_article1!$B$3:$B$962,C399,[49]mensuel_section_article1!$C$3:$C$962,D399)</f>
        <v>#VALUE!</v>
      </c>
      <c r="H399" s="60">
        <v>0</v>
      </c>
      <c r="I399" s="60">
        <v>0</v>
      </c>
      <c r="J399" s="60">
        <v>0</v>
      </c>
      <c r="K399" s="60">
        <f t="shared" si="220"/>
        <v>0</v>
      </c>
      <c r="L399" s="61" t="e">
        <f>IF(F399&lt;&gt;0,K399/F399,0)</f>
        <v>#VALUE!</v>
      </c>
      <c r="M399" s="60" t="e">
        <f>+SUMIFS([51]section_article!$H$10:$H$936,[51]section_article!$C$10:$C$936,C399,[51]section_article!$D$10:$D$936,D399)</f>
        <v>#VALUE!</v>
      </c>
      <c r="N399" s="24" t="e">
        <f t="shared" si="222"/>
        <v>#VALUE!</v>
      </c>
      <c r="O399" s="9"/>
      <c r="Q399" s="63"/>
      <c r="AK399" s="64"/>
      <c r="AL399" s="64"/>
      <c r="AM399" s="64"/>
      <c r="AN399" s="64"/>
      <c r="AO399" s="11">
        <v>1213111</v>
      </c>
      <c r="AP399" s="65" t="str">
        <f t="shared" si="221"/>
        <v>12131114</v>
      </c>
    </row>
    <row r="400" spans="1:42" s="62" customFormat="1" ht="27.75" hidden="1" customHeight="1" thickTop="1" thickBot="1" x14ac:dyDescent="0.3">
      <c r="A400" s="56" t="s">
        <v>22</v>
      </c>
      <c r="B400" s="56" t="s">
        <v>22</v>
      </c>
      <c r="C400" s="57">
        <f t="shared" si="218"/>
        <v>1213111</v>
      </c>
      <c r="D400" s="58">
        <v>5</v>
      </c>
      <c r="E400" s="59" t="str">
        <f t="shared" si="219"/>
        <v>IMMOBILISATION INCORPORELLE</v>
      </c>
      <c r="F400" s="60" t="e">
        <f>SUMIFS([49]mensuel_section_article1!$E$3:$E$962,[49]mensuel_section_article1!$B$3:$B$962,C400,[49]mensuel_section_article1!$C$3:$C$962,D400)</f>
        <v>#VALUE!</v>
      </c>
      <c r="G400" s="60" t="e">
        <f>SUMIFS([49]mensuel_section_article1!$G$3:$G$962,[49]mensuel_section_article1!$B$3:$B$962,C400,[49]mensuel_section_article1!$C$3:$C$962,D400)</f>
        <v>#VALUE!</v>
      </c>
      <c r="H400" s="60">
        <v>0</v>
      </c>
      <c r="I400" s="60">
        <v>0</v>
      </c>
      <c r="J400" s="60">
        <v>0</v>
      </c>
      <c r="K400" s="60">
        <f t="shared" si="220"/>
        <v>0</v>
      </c>
      <c r="L400" s="61" t="e">
        <f>IF(F400&lt;&gt;0,K400/F400,0)</f>
        <v>#VALUE!</v>
      </c>
      <c r="M400" s="60" t="e">
        <f>+SUMIFS([51]section_article!$H$10:$H$936,[51]section_article!$C$10:$C$936,C400,[51]section_article!$D$10:$D$936,D400)</f>
        <v>#VALUE!</v>
      </c>
      <c r="N400" s="24" t="e">
        <f t="shared" si="222"/>
        <v>#VALUE!</v>
      </c>
      <c r="O400" s="9">
        <f>+J4-26000000</f>
        <v>85333123311.219986</v>
      </c>
      <c r="Q400" s="63"/>
      <c r="AK400" s="64"/>
      <c r="AL400" s="64"/>
      <c r="AM400" s="64"/>
      <c r="AN400" s="64"/>
      <c r="AO400" s="11">
        <v>1213111</v>
      </c>
      <c r="AP400" s="65" t="str">
        <f t="shared" si="221"/>
        <v>12131115</v>
      </c>
    </row>
    <row r="401" spans="1:42" s="62" customFormat="1" ht="27.75" hidden="1" customHeight="1" thickTop="1" thickBot="1" x14ac:dyDescent="0.3">
      <c r="A401" s="56" t="s">
        <v>22</v>
      </c>
      <c r="B401" s="56" t="s">
        <v>22</v>
      </c>
      <c r="C401" s="57">
        <f t="shared" si="218"/>
        <v>1213111</v>
      </c>
      <c r="D401" s="58">
        <v>7</v>
      </c>
      <c r="E401" s="59" t="str">
        <f t="shared" si="219"/>
        <v>SUBVENTIONS,QUOTES-PARTS ET CONTRIB.,ALLOC, INDEMNISATIONS</v>
      </c>
      <c r="F401" s="60" t="e">
        <f>SUMIFS([49]mensuel_section_article1!$E$3:$E$962,[49]mensuel_section_article1!$B$3:$B$962,C401,[49]mensuel_section_article1!$C$3:$C$962,D401)</f>
        <v>#VALUE!</v>
      </c>
      <c r="G401" s="60" t="e">
        <f>SUMIFS([49]mensuel_section_article1!$G$3:$G$962,[49]mensuel_section_article1!$B$3:$B$962,C401,[49]mensuel_section_article1!$C$3:$C$962,D401)</f>
        <v>#VALUE!</v>
      </c>
      <c r="H401" s="60">
        <v>0</v>
      </c>
      <c r="I401" s="60">
        <v>0</v>
      </c>
      <c r="J401" s="60">
        <v>0</v>
      </c>
      <c r="K401" s="60">
        <f t="shared" si="220"/>
        <v>0</v>
      </c>
      <c r="L401" s="61" t="e">
        <f>IF(F401&lt;&gt;0,K401/F401,0)</f>
        <v>#VALUE!</v>
      </c>
      <c r="M401" s="60" t="e">
        <f>+SUMIFS([51]section_article!$H$10:$H$936,[51]section_article!$C$10:$C$936,C401,[51]section_article!$D$10:$D$936,D401)</f>
        <v>#VALUE!</v>
      </c>
      <c r="N401" s="24" t="e">
        <f t="shared" si="222"/>
        <v>#VALUE!</v>
      </c>
      <c r="O401" s="9"/>
      <c r="Q401" s="63"/>
      <c r="AK401" s="64"/>
      <c r="AL401" s="64"/>
      <c r="AM401" s="64"/>
      <c r="AN401" s="64"/>
      <c r="AO401" s="11">
        <v>1213111</v>
      </c>
      <c r="AP401" s="65" t="str">
        <f t="shared" si="221"/>
        <v>12131117</v>
      </c>
    </row>
    <row r="402" spans="1:42" s="62" customFormat="1" ht="27.75" hidden="1" customHeight="1" thickTop="1" thickBot="1" x14ac:dyDescent="0.3">
      <c r="A402" s="56" t="s">
        <v>22</v>
      </c>
      <c r="B402" s="56" t="s">
        <v>22</v>
      </c>
      <c r="C402" s="57">
        <f t="shared" si="218"/>
        <v>1213111</v>
      </c>
      <c r="D402" s="58">
        <v>9</v>
      </c>
      <c r="E402" s="59" t="str">
        <f t="shared" si="219"/>
        <v>AUTRES DEPENSES PUBLIQUES</v>
      </c>
      <c r="F402" s="60" t="e">
        <f>SUMIFS([49]mensuel_section_article1!$E$3:$E$962,[49]mensuel_section_article1!$B$3:$B$962,C402,[49]mensuel_section_article1!$C$3:$C$962,D402)</f>
        <v>#VALUE!</v>
      </c>
      <c r="G402" s="60" t="e">
        <f>SUMIFS([49]mensuel_section_article1!$G$3:$G$962,[49]mensuel_section_article1!$B$3:$B$962,C402,[49]mensuel_section_article1!$C$3:$C$962,D402)</f>
        <v>#VALUE!</v>
      </c>
      <c r="H402" s="60">
        <v>0</v>
      </c>
      <c r="I402" s="60">
        <v>0</v>
      </c>
      <c r="J402" s="60">
        <v>0</v>
      </c>
      <c r="K402" s="60">
        <f t="shared" si="220"/>
        <v>0</v>
      </c>
      <c r="L402" s="61" t="e">
        <f>IF(F402&lt;&gt;0,K402/F402,0)</f>
        <v>#VALUE!</v>
      </c>
      <c r="M402" s="60" t="e">
        <f>+SUMIFS([51]section_article!$H$10:$H$936,[51]section_article!$C$10:$C$936,C402,[51]section_article!$D$10:$D$936,D402)</f>
        <v>#VALUE!</v>
      </c>
      <c r="N402" s="24" t="e">
        <f t="shared" si="222"/>
        <v>#VALUE!</v>
      </c>
      <c r="O402" s="9"/>
      <c r="Q402" s="63"/>
      <c r="AK402" s="64"/>
      <c r="AL402" s="64"/>
      <c r="AM402" s="64"/>
      <c r="AN402" s="64"/>
      <c r="AO402" s="11">
        <v>1213111</v>
      </c>
      <c r="AP402" s="65" t="str">
        <f t="shared" si="221"/>
        <v>12131119</v>
      </c>
    </row>
    <row r="403" spans="1:42" s="1" customFormat="1" ht="27.75" customHeight="1" thickTop="1" thickBot="1" x14ac:dyDescent="0.3">
      <c r="A403" s="50" t="s">
        <v>20</v>
      </c>
      <c r="B403" s="50" t="s">
        <v>20</v>
      </c>
      <c r="C403" s="50" t="s">
        <v>20</v>
      </c>
      <c r="D403" s="51">
        <v>1213112</v>
      </c>
      <c r="E403" s="67" t="s">
        <v>23</v>
      </c>
      <c r="F403" s="68" t="e">
        <f>SUMIF($B$404:$B$410,"article",F404:F410)</f>
        <v>#VALUE!</v>
      </c>
      <c r="G403" s="68" t="e">
        <f>SUMIF($B$404:$B$410,"article",G404:G410)</f>
        <v>#VALUE!</v>
      </c>
      <c r="H403" s="68">
        <f>SUMIF($B$404:$B$410,"article",H404:H410)</f>
        <v>3445081142.1199956</v>
      </c>
      <c r="I403" s="68">
        <v>3685591872.0500002</v>
      </c>
      <c r="J403" s="68">
        <f>SUMIF($B$404:$B$410,"article",J404:J410)</f>
        <v>3685561486.5500002</v>
      </c>
      <c r="K403" s="68">
        <f>SUMIF($B$404:$B$410,"article",K404:K410)</f>
        <v>-240480344.43000469</v>
      </c>
      <c r="L403" s="69">
        <f t="shared" ref="L403:L408" si="223">+J403/H403</f>
        <v>1.0698039710849947</v>
      </c>
      <c r="M403" s="68"/>
      <c r="N403" s="68"/>
      <c r="O403" s="9"/>
      <c r="Q403" s="23"/>
      <c r="AK403" s="70"/>
      <c r="AL403" s="70"/>
      <c r="AM403" s="70"/>
      <c r="AN403" s="70"/>
      <c r="AO403" s="11">
        <v>1213112</v>
      </c>
    </row>
    <row r="404" spans="1:42" s="62" customFormat="1" ht="27.75" customHeight="1" thickTop="1" thickBot="1" x14ac:dyDescent="0.3">
      <c r="A404" s="56" t="s">
        <v>22</v>
      </c>
      <c r="B404" s="56" t="s">
        <v>22</v>
      </c>
      <c r="C404" s="57">
        <f t="shared" ref="C404:C410" si="224">IF(A403="SECTION",D403,C403)</f>
        <v>1213112</v>
      </c>
      <c r="D404" s="58">
        <v>1</v>
      </c>
      <c r="E404" s="59" t="str">
        <f t="shared" ref="E404:E410" si="225">IF(D404=1, "DEPENSES DE PERSONNEL",  +IF(D404=2,"DEPENSES DE SERVICES ET CHARGES DIVERSES", +IF(D404=3,"ACHATS DE BIENS DE CONSOMMATION ET PETITS MATERIELS",+IF(D404=4,"IMMOBILISATION CORPORELLE",+IF(D404=5,"IMMOBILISATION INCORPORELLE",+IF(D404=7,"SUBVENTIONS,QUOTES-PARTS ET CONTRIB.,ALLOC, INDEMNISATIONS",+IF(D404=8,"AMORTISSEMENT DE LA DETTE",+IF(D404=9,"AUTRES DEPENSES PUBLIQUES",0))))))))</f>
        <v>DEPENSES DE PERSONNEL</v>
      </c>
      <c r="F404" s="60" t="e">
        <f>SUMIFS([49]mensuel_section_article1!$E$3:$E$962,[49]mensuel_section_article1!$B$3:$B$962,C404,[49]mensuel_section_article1!$C$3:$C$962,D404)</f>
        <v>#VALUE!</v>
      </c>
      <c r="G404" s="60" t="e">
        <f>SUMIFS([49]mensuel_section_article1!$G$3:$G$962,[49]mensuel_section_article1!$B$3:$B$962,C404,[49]mensuel_section_article1!$C$3:$C$962,D404)</f>
        <v>#VALUE!</v>
      </c>
      <c r="H404" s="60">
        <v>231348149.5799959</v>
      </c>
      <c r="I404" s="60">
        <v>239981314.59999999</v>
      </c>
      <c r="J404" s="60">
        <v>239980901.78</v>
      </c>
      <c r="K404" s="60">
        <f t="shared" ref="K404:K410" si="226">+H404-J404</f>
        <v>-8632752.2000041008</v>
      </c>
      <c r="L404" s="61">
        <f t="shared" si="223"/>
        <v>1.03731498270324</v>
      </c>
      <c r="M404" s="60"/>
      <c r="N404" s="24"/>
      <c r="O404" s="9"/>
      <c r="Q404" s="63"/>
      <c r="AK404" s="64"/>
      <c r="AL404" s="64"/>
      <c r="AM404" s="64"/>
      <c r="AN404" s="64"/>
      <c r="AO404" s="11">
        <v>1213112</v>
      </c>
      <c r="AP404" s="65" t="str">
        <f t="shared" ref="AP404:AP410" si="227">CONCATENATE(AO404,D404)</f>
        <v>12131121</v>
      </c>
    </row>
    <row r="405" spans="1:42" s="62" customFormat="1" ht="27.75" customHeight="1" thickTop="1" thickBot="1" x14ac:dyDescent="0.3">
      <c r="A405" s="56" t="s">
        <v>22</v>
      </c>
      <c r="B405" s="56" t="s">
        <v>22</v>
      </c>
      <c r="C405" s="57">
        <f t="shared" si="224"/>
        <v>1213112</v>
      </c>
      <c r="D405" s="58">
        <v>2</v>
      </c>
      <c r="E405" s="59" t="str">
        <f t="shared" si="225"/>
        <v>DEPENSES DE SERVICES ET CHARGES DIVERSES</v>
      </c>
      <c r="F405" s="60" t="e">
        <f>SUMIFS([49]mensuel_section_article1!$E$3:$E$962,[49]mensuel_section_article1!$B$3:$B$962,C405,[49]mensuel_section_article1!$C$3:$C$962,D405)</f>
        <v>#VALUE!</v>
      </c>
      <c r="G405" s="60" t="e">
        <f>SUMIFS([49]mensuel_section_article1!$G$3:$G$962,[49]mensuel_section_article1!$B$3:$B$962,C405,[49]mensuel_section_article1!$C$3:$C$962,D405)</f>
        <v>#VALUE!</v>
      </c>
      <c r="H405" s="60">
        <v>56100928.930000007</v>
      </c>
      <c r="I405" s="60">
        <v>71476612.849999994</v>
      </c>
      <c r="J405" s="60">
        <v>71476383.980000004</v>
      </c>
      <c r="K405" s="60">
        <f t="shared" si="226"/>
        <v>-15375455.049999997</v>
      </c>
      <c r="L405" s="61">
        <f t="shared" si="223"/>
        <v>1.2740677443894866</v>
      </c>
      <c r="M405" s="60"/>
      <c r="N405" s="24"/>
      <c r="O405" s="9"/>
      <c r="Q405" s="63"/>
      <c r="AK405" s="64"/>
      <c r="AL405" s="64"/>
      <c r="AM405" s="64"/>
      <c r="AN405" s="64"/>
      <c r="AO405" s="11">
        <v>1213112</v>
      </c>
      <c r="AP405" s="65" t="str">
        <f t="shared" si="227"/>
        <v>12131122</v>
      </c>
    </row>
    <row r="406" spans="1:42" s="62" customFormat="1" ht="27.75" customHeight="1" thickTop="1" thickBot="1" x14ac:dyDescent="0.3">
      <c r="A406" s="56" t="s">
        <v>22</v>
      </c>
      <c r="B406" s="56" t="s">
        <v>22</v>
      </c>
      <c r="C406" s="57">
        <f t="shared" si="224"/>
        <v>1213112</v>
      </c>
      <c r="D406" s="58">
        <v>3</v>
      </c>
      <c r="E406" s="59" t="str">
        <f t="shared" si="225"/>
        <v>ACHATS DE BIENS DE CONSOMMATION ET PETITS MATERIELS</v>
      </c>
      <c r="F406" s="60" t="e">
        <f>SUMIFS([49]mensuel_section_article1!$E$3:$E$962,[49]mensuel_section_article1!$B$3:$B$962,C406,[49]mensuel_section_article1!$C$3:$C$962,D406)</f>
        <v>#VALUE!</v>
      </c>
      <c r="G406" s="60" t="e">
        <f>SUMIFS([49]mensuel_section_article1!$G$3:$G$962,[49]mensuel_section_article1!$B$3:$B$962,C406,[49]mensuel_section_article1!$C$3:$C$962,D406)</f>
        <v>#VALUE!</v>
      </c>
      <c r="H406" s="60">
        <v>28925867.980000004</v>
      </c>
      <c r="I406" s="60">
        <v>75620969</v>
      </c>
      <c r="J406" s="60">
        <v>75620932.650000006</v>
      </c>
      <c r="K406" s="60">
        <f t="shared" si="226"/>
        <v>-46695064.670000002</v>
      </c>
      <c r="L406" s="61">
        <f t="shared" si="223"/>
        <v>2.6143012442110991</v>
      </c>
      <c r="M406" s="60"/>
      <c r="N406" s="24"/>
      <c r="O406" s="9"/>
      <c r="Q406" s="63"/>
      <c r="AK406" s="64"/>
      <c r="AL406" s="64"/>
      <c r="AM406" s="64"/>
      <c r="AN406" s="64"/>
      <c r="AO406" s="11">
        <v>1213112</v>
      </c>
      <c r="AP406" s="65" t="str">
        <f t="shared" si="227"/>
        <v>12131123</v>
      </c>
    </row>
    <row r="407" spans="1:42" s="62" customFormat="1" ht="27.75" customHeight="1" thickTop="1" thickBot="1" x14ac:dyDescent="0.3">
      <c r="A407" s="56" t="s">
        <v>22</v>
      </c>
      <c r="B407" s="56" t="s">
        <v>22</v>
      </c>
      <c r="C407" s="57">
        <f t="shared" si="224"/>
        <v>1213112</v>
      </c>
      <c r="D407" s="58">
        <v>4</v>
      </c>
      <c r="E407" s="59" t="str">
        <f t="shared" si="225"/>
        <v>IMMOBILISATION CORPORELLE</v>
      </c>
      <c r="F407" s="60" t="e">
        <f>SUMIFS([49]mensuel_section_article1!$E$3:$E$962,[49]mensuel_section_article1!$B$3:$B$962,C407,[49]mensuel_section_article1!$C$3:$C$962,D407)</f>
        <v>#VALUE!</v>
      </c>
      <c r="G407" s="60" t="e">
        <f>SUMIFS([49]mensuel_section_article1!$G$3:$G$962,[49]mensuel_section_article1!$B$3:$B$962,C407,[49]mensuel_section_article1!$C$3:$C$962,D407)</f>
        <v>#VALUE!</v>
      </c>
      <c r="H407" s="60">
        <v>13178753.820000004</v>
      </c>
      <c r="I407" s="60">
        <v>13278753.789999999</v>
      </c>
      <c r="J407" s="60">
        <v>13278686.199999999</v>
      </c>
      <c r="K407" s="60">
        <f t="shared" si="226"/>
        <v>-99932.379999995232</v>
      </c>
      <c r="L407" s="61">
        <f t="shared" si="223"/>
        <v>1.0075828398773439</v>
      </c>
      <c r="M407" s="60"/>
      <c r="N407" s="24"/>
      <c r="O407" s="9"/>
      <c r="Q407" s="63"/>
      <c r="AK407" s="64"/>
      <c r="AL407" s="64"/>
      <c r="AM407" s="64"/>
      <c r="AN407" s="64"/>
      <c r="AO407" s="11">
        <v>1213112</v>
      </c>
      <c r="AP407" s="65" t="str">
        <f t="shared" si="227"/>
        <v>12131124</v>
      </c>
    </row>
    <row r="408" spans="1:42" s="62" customFormat="1" ht="27.75" customHeight="1" thickTop="1" thickBot="1" x14ac:dyDescent="0.3">
      <c r="A408" s="56" t="s">
        <v>22</v>
      </c>
      <c r="B408" s="56" t="s">
        <v>22</v>
      </c>
      <c r="C408" s="57">
        <f t="shared" si="224"/>
        <v>1213112</v>
      </c>
      <c r="D408" s="58">
        <v>5</v>
      </c>
      <c r="E408" s="59" t="str">
        <f t="shared" si="225"/>
        <v>IMMOBILISATION INCORPORELLE</v>
      </c>
      <c r="F408" s="60" t="e">
        <f>SUMIFS([49]mensuel_section_article1!$E$3:$E$962,[49]mensuel_section_article1!$B$3:$B$962,C408,[49]mensuel_section_article1!$C$3:$C$962,D408)</f>
        <v>#VALUE!</v>
      </c>
      <c r="G408" s="60" t="e">
        <f>SUMIFS([49]mensuel_section_article1!$G$3:$G$962,[49]mensuel_section_article1!$B$3:$B$962,C408,[49]mensuel_section_article1!$C$3:$C$962,D408)</f>
        <v>#VALUE!</v>
      </c>
      <c r="H408" s="60">
        <v>100000</v>
      </c>
      <c r="I408" s="60">
        <v>0.01</v>
      </c>
      <c r="J408" s="60">
        <v>0</v>
      </c>
      <c r="K408" s="60">
        <f t="shared" si="226"/>
        <v>100000</v>
      </c>
      <c r="L408" s="61">
        <f t="shared" si="223"/>
        <v>0</v>
      </c>
      <c r="M408" s="60"/>
      <c r="N408" s="24"/>
      <c r="O408" s="9"/>
      <c r="Q408" s="63"/>
      <c r="AK408" s="64"/>
      <c r="AL408" s="64"/>
      <c r="AM408" s="64"/>
      <c r="AN408" s="64"/>
      <c r="AO408" s="11">
        <v>1213112</v>
      </c>
      <c r="AP408" s="65" t="str">
        <f t="shared" si="227"/>
        <v>12131125</v>
      </c>
    </row>
    <row r="409" spans="1:42" s="62" customFormat="1" ht="27.75" hidden="1" customHeight="1" thickTop="1" thickBot="1" x14ac:dyDescent="0.3">
      <c r="A409" s="56" t="s">
        <v>22</v>
      </c>
      <c r="B409" s="56" t="s">
        <v>22</v>
      </c>
      <c r="C409" s="57">
        <f t="shared" si="224"/>
        <v>1213112</v>
      </c>
      <c r="D409" s="58">
        <v>7</v>
      </c>
      <c r="E409" s="59" t="str">
        <f t="shared" si="225"/>
        <v>SUBVENTIONS,QUOTES-PARTS ET CONTRIB.,ALLOC, INDEMNISATIONS</v>
      </c>
      <c r="F409" s="60" t="e">
        <f>SUMIFS([49]mensuel_section_article1!$E$3:$E$962,[49]mensuel_section_article1!$B$3:$B$962,C409,[49]mensuel_section_article1!$C$3:$C$962,D409)</f>
        <v>#VALUE!</v>
      </c>
      <c r="G409" s="60" t="e">
        <f>SUMIFS([49]mensuel_section_article1!$G$3:$G$962,[49]mensuel_section_article1!$B$3:$B$962,C409,[49]mensuel_section_article1!$C$3:$C$962,D409)</f>
        <v>#VALUE!</v>
      </c>
      <c r="H409" s="60">
        <v>0</v>
      </c>
      <c r="I409" s="60">
        <v>0</v>
      </c>
      <c r="J409" s="60">
        <v>0</v>
      </c>
      <c r="K409" s="60">
        <f t="shared" si="226"/>
        <v>0</v>
      </c>
      <c r="L409" s="61" t="e">
        <f>IF(F409&lt;&gt;0,K409/F409,0)</f>
        <v>#VALUE!</v>
      </c>
      <c r="M409" s="60" t="e">
        <f>+SUMIFS([51]section_article!$H$10:$H$936,[51]section_article!$C$10:$C$936,C409,[51]section_article!$D$10:$D$936,D409)</f>
        <v>#VALUE!</v>
      </c>
      <c r="N409" s="24" t="e">
        <f t="shared" ref="N404:N410" si="228">+J409-M409</f>
        <v>#VALUE!</v>
      </c>
      <c r="O409" s="9"/>
      <c r="Q409" s="63"/>
      <c r="AK409" s="64"/>
      <c r="AL409" s="64"/>
      <c r="AM409" s="64"/>
      <c r="AN409" s="64"/>
      <c r="AO409" s="11">
        <v>1213112</v>
      </c>
      <c r="AP409" s="65" t="str">
        <f t="shared" si="227"/>
        <v>12131127</v>
      </c>
    </row>
    <row r="410" spans="1:42" s="62" customFormat="1" ht="27.75" customHeight="1" thickTop="1" thickBot="1" x14ac:dyDescent="0.3">
      <c r="A410" s="56" t="s">
        <v>22</v>
      </c>
      <c r="B410" s="56" t="s">
        <v>22</v>
      </c>
      <c r="C410" s="57">
        <f t="shared" si="224"/>
        <v>1213112</v>
      </c>
      <c r="D410" s="58">
        <v>9</v>
      </c>
      <c r="E410" s="59" t="str">
        <f t="shared" si="225"/>
        <v>AUTRES DEPENSES PUBLIQUES</v>
      </c>
      <c r="F410" s="60" t="e">
        <f>SUMIFS([49]mensuel_section_article1!$E$3:$E$962,[49]mensuel_section_article1!$B$3:$B$962,C410,[49]mensuel_section_article1!$C$3:$C$962,D410)</f>
        <v>#VALUE!</v>
      </c>
      <c r="G410" s="60" t="e">
        <f>SUMIFS([49]mensuel_section_article1!$G$3:$G$962,[49]mensuel_section_article1!$B$3:$B$962,C410,[49]mensuel_section_article1!$C$3:$C$962,D410)</f>
        <v>#VALUE!</v>
      </c>
      <c r="H410" s="60">
        <v>3115427441.8099995</v>
      </c>
      <c r="I410" s="60">
        <v>3285234221.8000002</v>
      </c>
      <c r="J410" s="60">
        <v>3285204581.9400001</v>
      </c>
      <c r="K410" s="60">
        <f t="shared" si="226"/>
        <v>-169777140.13000059</v>
      </c>
      <c r="L410" s="61">
        <f>+J410/H410</f>
        <v>1.0544956168298254</v>
      </c>
      <c r="M410" s="60"/>
      <c r="N410" s="24"/>
      <c r="O410" s="9"/>
      <c r="Q410" s="66"/>
      <c r="AK410" s="64"/>
      <c r="AL410" s="64"/>
      <c r="AM410" s="64"/>
      <c r="AN410" s="64"/>
      <c r="AO410" s="11">
        <v>1213112</v>
      </c>
      <c r="AP410" s="65" t="str">
        <f t="shared" si="227"/>
        <v>12131129</v>
      </c>
    </row>
    <row r="411" spans="1:42" s="1" customFormat="1" ht="27.75" customHeight="1" thickTop="1" x14ac:dyDescent="0.25">
      <c r="A411" s="37" t="s">
        <v>16</v>
      </c>
      <c r="B411" s="37" t="s">
        <v>16</v>
      </c>
      <c r="C411" s="37" t="s">
        <v>16</v>
      </c>
      <c r="D411" s="73">
        <v>1214</v>
      </c>
      <c r="E411" s="74" t="s">
        <v>73</v>
      </c>
      <c r="F411" s="75" t="e">
        <f>SUMIF($B$412:$B$438,"chap",F412:F438)</f>
        <v>#VALUE!</v>
      </c>
      <c r="G411" s="75" t="e">
        <f>SUMIF($B$412:$B$438,"chap",G412:G438)</f>
        <v>#VALUE!</v>
      </c>
      <c r="H411" s="75">
        <f>SUMIF($B$412:$B$438,"chap",H412:H438)</f>
        <v>1753170854.49</v>
      </c>
      <c r="I411" s="75">
        <v>1713170854.5999999</v>
      </c>
      <c r="J411" s="75">
        <f>SUMIF($B$412:$B$438,"chap",J412:J438)</f>
        <v>1472186468.8000002</v>
      </c>
      <c r="K411" s="75">
        <f>SUMIF($B$412:$B$438,"chap",K412:K438)</f>
        <v>280984385.68999982</v>
      </c>
      <c r="L411" s="76">
        <f>+J411/H411</f>
        <v>0.83972789362178935</v>
      </c>
      <c r="M411" s="75"/>
      <c r="N411" s="75"/>
      <c r="O411" s="9"/>
      <c r="Q411" s="23"/>
      <c r="AK411" s="77"/>
      <c r="AL411" s="77"/>
      <c r="AM411" s="77"/>
      <c r="AN411" s="77"/>
      <c r="AO411" s="11"/>
    </row>
    <row r="412" spans="1:42" s="49" customFormat="1" ht="27.75" customHeight="1" x14ac:dyDescent="0.25">
      <c r="A412" s="43" t="s">
        <v>19</v>
      </c>
      <c r="B412" s="43" t="s">
        <v>19</v>
      </c>
      <c r="C412" s="43" t="s">
        <v>19</v>
      </c>
      <c r="D412" s="44">
        <v>12141</v>
      </c>
      <c r="E412" s="45" t="str">
        <f>VLOOKUP(D412,[49]INST!$A$1:$B$626,2,FALSE)</f>
        <v>SERVICES INTERNES</v>
      </c>
      <c r="F412" s="46" t="e">
        <f>SUMIF($B$413:$B$438,"section",F413:F438)</f>
        <v>#VALUE!</v>
      </c>
      <c r="G412" s="46" t="e">
        <f>SUMIF($B$413:$B$438,"section",G413:G438)</f>
        <v>#VALUE!</v>
      </c>
      <c r="H412" s="46">
        <f>SUMIF($B$413:$B$438,"section",H413:H438)</f>
        <v>1753170854.49</v>
      </c>
      <c r="I412" s="46">
        <v>1713170854.5999999</v>
      </c>
      <c r="J412" s="46">
        <f>SUMIF($B$413:$B$438,"section",J413:J438)</f>
        <v>1472186468.8000002</v>
      </c>
      <c r="K412" s="46">
        <f>SUMIF($B$413:$B$438,"section",K413:K438)</f>
        <v>280984385.68999982</v>
      </c>
      <c r="L412" s="47">
        <f>+J412/H412</f>
        <v>0.83972789362178935</v>
      </c>
      <c r="M412" s="46"/>
      <c r="N412" s="46"/>
      <c r="O412" s="48"/>
      <c r="AO412" s="11"/>
    </row>
    <row r="413" spans="1:42" s="1" customFormat="1" ht="27.75" customHeight="1" thickBot="1" x14ac:dyDescent="0.3">
      <c r="A413" s="50" t="s">
        <v>20</v>
      </c>
      <c r="B413" s="50" t="s">
        <v>20</v>
      </c>
      <c r="C413" s="50" t="s">
        <v>20</v>
      </c>
      <c r="D413" s="51">
        <v>1214111</v>
      </c>
      <c r="E413" s="67" t="s">
        <v>74</v>
      </c>
      <c r="F413" s="68" t="e">
        <f>SUMIF($B$414:$B$420,"article",F414:F420)</f>
        <v>#VALUE!</v>
      </c>
      <c r="G413" s="68" t="e">
        <f>SUMIF($B$414:$B$420,"article",G414:G420)</f>
        <v>#VALUE!</v>
      </c>
      <c r="H413" s="68">
        <f>SUMIF($B$414:$B$420,"article",H414:H420)</f>
        <v>351143626.98000002</v>
      </c>
      <c r="I413" s="68">
        <v>323218144.30000001</v>
      </c>
      <c r="J413" s="68">
        <f>SUMIF($B$414:$B$420,"article",J414:J420)</f>
        <v>300984445.69</v>
      </c>
      <c r="K413" s="68">
        <f>SUMIF($B$414:$B$420,"article",K414:K420)</f>
        <v>50159181.289999992</v>
      </c>
      <c r="L413" s="69">
        <f>+J413/H413</f>
        <v>0.85715480095312413</v>
      </c>
      <c r="M413" s="68"/>
      <c r="N413" s="68"/>
      <c r="O413" s="9"/>
      <c r="P413" s="95"/>
      <c r="Q413" s="23"/>
      <c r="AK413" s="70"/>
      <c r="AL413" s="70"/>
      <c r="AM413" s="70"/>
      <c r="AN413" s="70"/>
      <c r="AO413" s="11">
        <v>1214111</v>
      </c>
    </row>
    <row r="414" spans="1:42" s="62" customFormat="1" ht="27.75" customHeight="1" thickTop="1" thickBot="1" x14ac:dyDescent="0.3">
      <c r="A414" s="56" t="s">
        <v>22</v>
      </c>
      <c r="B414" s="56" t="s">
        <v>22</v>
      </c>
      <c r="C414" s="57">
        <f t="shared" ref="C414:C420" si="229">IF(A413="SECTION",D413,C413)</f>
        <v>1214111</v>
      </c>
      <c r="D414" s="58">
        <v>1</v>
      </c>
      <c r="E414" s="59" t="str">
        <f t="shared" ref="E414:E420" si="230">IF(D414=1, "DEPENSES DE PERSONNEL",  +IF(D414=2,"DEPENSES DE SERVICES ET CHARGES DIVERSES", +IF(D414=3,"ACHATS DE BIENS DE CONSOMMATION ET PETITS MATERIELS",+IF(D414=4,"IMMOBILISATION CORPORELLE",+IF(D414=5,"IMMOBILISATION INCORPORELLE",+IF(D414=7,"SUBVENTIONS,QUOTES-PARTS ET CONTRIB.,ALLOC, INDEMNISATIONS",+IF(D414=8,"AMORTISSEMENT DE LA DETTE",+IF(D414=9,"AUTRES DEPENSES PUBLIQUES",0))))))))</f>
        <v>DEPENSES DE PERSONNEL</v>
      </c>
      <c r="F414" s="60" t="e">
        <f>SUMIFS([49]mensuel_section_article1!$E$3:$E$962,[49]mensuel_section_article1!$B$3:$B$962,C414,[49]mensuel_section_article1!$C$3:$C$962,D414)</f>
        <v>#VALUE!</v>
      </c>
      <c r="G414" s="60" t="e">
        <f>SUMIFS([49]mensuel_section_article1!$G$3:$G$962,[49]mensuel_section_article1!$B$3:$B$962,C414,[49]mensuel_section_article1!$C$3:$C$962,D414)</f>
        <v>#VALUE!</v>
      </c>
      <c r="H414" s="60">
        <v>178113450.97999999</v>
      </c>
      <c r="I414" s="60">
        <v>150187968.30000001</v>
      </c>
      <c r="J414" s="60">
        <v>141984446.69</v>
      </c>
      <c r="K414" s="60">
        <f t="shared" ref="K414:K420" si="231">+H414-J414</f>
        <v>36129004.289999992</v>
      </c>
      <c r="L414" s="61">
        <f>+J414/H414</f>
        <v>0.79715735060314541</v>
      </c>
      <c r="M414" s="60"/>
      <c r="N414" s="24"/>
      <c r="O414" s="9"/>
      <c r="Q414" s="63"/>
      <c r="AK414" s="64"/>
      <c r="AL414" s="64"/>
      <c r="AM414" s="64"/>
      <c r="AN414" s="64"/>
      <c r="AO414" s="11">
        <v>1214111</v>
      </c>
      <c r="AP414" s="65" t="str">
        <f t="shared" ref="AP414:AP420" si="232">CONCATENATE(AO414,D414)</f>
        <v>12141111</v>
      </c>
    </row>
    <row r="415" spans="1:42" s="62" customFormat="1" ht="27.75" hidden="1" customHeight="1" thickTop="1" thickBot="1" x14ac:dyDescent="0.3">
      <c r="A415" s="56" t="s">
        <v>22</v>
      </c>
      <c r="B415" s="56" t="s">
        <v>22</v>
      </c>
      <c r="C415" s="57">
        <f t="shared" si="229"/>
        <v>1214111</v>
      </c>
      <c r="D415" s="58">
        <v>2</v>
      </c>
      <c r="E415" s="59" t="str">
        <f t="shared" si="230"/>
        <v>DEPENSES DE SERVICES ET CHARGES DIVERSES</v>
      </c>
      <c r="F415" s="60" t="e">
        <f>SUMIFS([49]mensuel_section_article1!$E$3:$E$962,[49]mensuel_section_article1!$B$3:$B$962,C415,[49]mensuel_section_article1!$C$3:$C$962,D415)</f>
        <v>#VALUE!</v>
      </c>
      <c r="G415" s="60" t="e">
        <f>SUMIFS([49]mensuel_section_article1!$G$3:$G$962,[49]mensuel_section_article1!$B$3:$B$962,C415,[49]mensuel_section_article1!$C$3:$C$962,D415)</f>
        <v>#VALUE!</v>
      </c>
      <c r="H415" s="60">
        <v>0</v>
      </c>
      <c r="I415" s="60">
        <v>0</v>
      </c>
      <c r="J415" s="60">
        <v>0</v>
      </c>
      <c r="K415" s="60">
        <f t="shared" si="231"/>
        <v>0</v>
      </c>
      <c r="L415" s="61" t="e">
        <f>IF(F415&lt;&gt;0,K415/F415,0)</f>
        <v>#VALUE!</v>
      </c>
      <c r="M415" s="60" t="e">
        <f>+SUMIFS([51]section_article!$H$10:$H$936,[51]section_article!$C$10:$C$936,C415,[51]section_article!$D$10:$D$936,D415)</f>
        <v>#VALUE!</v>
      </c>
      <c r="N415" s="24" t="e">
        <f t="shared" ref="N414:N420" si="233">+J415-M415</f>
        <v>#VALUE!</v>
      </c>
      <c r="O415" s="9">
        <v>65836000000</v>
      </c>
      <c r="Q415" s="63"/>
      <c r="AK415" s="64"/>
      <c r="AL415" s="64"/>
      <c r="AM415" s="64"/>
      <c r="AN415" s="64"/>
      <c r="AO415" s="11">
        <v>1214111</v>
      </c>
      <c r="AP415" s="65" t="str">
        <f t="shared" si="232"/>
        <v>12141112</v>
      </c>
    </row>
    <row r="416" spans="1:42" s="62" customFormat="1" ht="27.75" hidden="1" customHeight="1" thickTop="1" thickBot="1" x14ac:dyDescent="0.3">
      <c r="A416" s="56" t="s">
        <v>22</v>
      </c>
      <c r="B416" s="56" t="s">
        <v>22</v>
      </c>
      <c r="C416" s="57">
        <f t="shared" si="229"/>
        <v>1214111</v>
      </c>
      <c r="D416" s="58">
        <v>3</v>
      </c>
      <c r="E416" s="59" t="str">
        <f t="shared" si="230"/>
        <v>ACHATS DE BIENS DE CONSOMMATION ET PETITS MATERIELS</v>
      </c>
      <c r="F416" s="60" t="e">
        <f>SUMIFS([49]mensuel_section_article1!$E$3:$E$962,[49]mensuel_section_article1!$B$3:$B$962,C416,[49]mensuel_section_article1!$C$3:$C$962,D416)</f>
        <v>#VALUE!</v>
      </c>
      <c r="G416" s="60" t="e">
        <f>SUMIFS([49]mensuel_section_article1!$G$3:$G$962,[49]mensuel_section_article1!$B$3:$B$962,C416,[49]mensuel_section_article1!$C$3:$C$962,D416)</f>
        <v>#VALUE!</v>
      </c>
      <c r="H416" s="60">
        <v>0</v>
      </c>
      <c r="I416" s="60">
        <v>0</v>
      </c>
      <c r="J416" s="60">
        <v>0</v>
      </c>
      <c r="K416" s="60">
        <f t="shared" si="231"/>
        <v>0</v>
      </c>
      <c r="L416" s="61" t="e">
        <f>IF(F416&lt;&gt;0,K416/F416,0)</f>
        <v>#VALUE!</v>
      </c>
      <c r="M416" s="60" t="e">
        <f>+SUMIFS([51]section_article!$H$10:$H$936,[51]section_article!$C$10:$C$936,C416,[51]section_article!$D$10:$D$936,D416)</f>
        <v>#VALUE!</v>
      </c>
      <c r="N416" s="24" t="e">
        <f t="shared" si="233"/>
        <v>#VALUE!</v>
      </c>
      <c r="O416" s="9">
        <f>+O415-O413</f>
        <v>65836000000</v>
      </c>
      <c r="Q416" s="63"/>
      <c r="AK416" s="64"/>
      <c r="AL416" s="64"/>
      <c r="AM416" s="64"/>
      <c r="AN416" s="64"/>
      <c r="AO416" s="11">
        <v>1214111</v>
      </c>
      <c r="AP416" s="65" t="str">
        <f t="shared" si="232"/>
        <v>12141113</v>
      </c>
    </row>
    <row r="417" spans="1:42" s="62" customFormat="1" ht="27.75" customHeight="1" thickTop="1" thickBot="1" x14ac:dyDescent="0.3">
      <c r="A417" s="56" t="s">
        <v>22</v>
      </c>
      <c r="B417" s="56" t="s">
        <v>22</v>
      </c>
      <c r="C417" s="57">
        <f t="shared" si="229"/>
        <v>1214111</v>
      </c>
      <c r="D417" s="58">
        <v>4</v>
      </c>
      <c r="E417" s="59" t="str">
        <f t="shared" si="230"/>
        <v>IMMOBILISATION CORPORELLE</v>
      </c>
      <c r="F417" s="60" t="e">
        <f>SUMIFS([49]mensuel_section_article1!$E$3:$E$962,[49]mensuel_section_article1!$B$3:$B$962,C417,[49]mensuel_section_article1!$C$3:$C$962,D417)</f>
        <v>#VALUE!</v>
      </c>
      <c r="G417" s="60" t="e">
        <f>SUMIFS([49]mensuel_section_article1!$G$3:$G$962,[49]mensuel_section_article1!$B$3:$B$962,C417,[49]mensuel_section_article1!$C$3:$C$962,D417)</f>
        <v>#VALUE!</v>
      </c>
      <c r="H417" s="60">
        <v>14030176</v>
      </c>
      <c r="I417" s="60">
        <v>14030176</v>
      </c>
      <c r="J417" s="60">
        <v>0</v>
      </c>
      <c r="K417" s="60">
        <f t="shared" si="231"/>
        <v>14030176</v>
      </c>
      <c r="L417" s="61">
        <f>+J417/H417</f>
        <v>0</v>
      </c>
      <c r="M417" s="60"/>
      <c r="N417" s="24"/>
      <c r="O417" s="9"/>
      <c r="Q417" s="63"/>
      <c r="AK417" s="64"/>
      <c r="AL417" s="64"/>
      <c r="AM417" s="64"/>
      <c r="AN417" s="64"/>
      <c r="AO417" s="11">
        <v>1214111</v>
      </c>
      <c r="AP417" s="65" t="str">
        <f t="shared" si="232"/>
        <v>12141114</v>
      </c>
    </row>
    <row r="418" spans="1:42" s="62" customFormat="1" ht="27.75" hidden="1" customHeight="1" thickTop="1" thickBot="1" x14ac:dyDescent="0.3">
      <c r="A418" s="56" t="s">
        <v>22</v>
      </c>
      <c r="B418" s="56" t="s">
        <v>22</v>
      </c>
      <c r="C418" s="57">
        <f t="shared" si="229"/>
        <v>1214111</v>
      </c>
      <c r="D418" s="58">
        <v>5</v>
      </c>
      <c r="E418" s="59" t="str">
        <f t="shared" si="230"/>
        <v>IMMOBILISATION INCORPORELLE</v>
      </c>
      <c r="F418" s="60" t="e">
        <f>SUMIFS([49]mensuel_section_article1!$E$3:$E$962,[49]mensuel_section_article1!$B$3:$B$962,C418,[49]mensuel_section_article1!$C$3:$C$962,D418)</f>
        <v>#VALUE!</v>
      </c>
      <c r="G418" s="60" t="e">
        <f>SUMIFS([49]mensuel_section_article1!$G$3:$G$962,[49]mensuel_section_article1!$B$3:$B$962,C418,[49]mensuel_section_article1!$C$3:$C$962,D418)</f>
        <v>#VALUE!</v>
      </c>
      <c r="H418" s="60">
        <v>0</v>
      </c>
      <c r="I418" s="60">
        <v>0</v>
      </c>
      <c r="J418" s="60">
        <v>0</v>
      </c>
      <c r="K418" s="60">
        <f t="shared" si="231"/>
        <v>0</v>
      </c>
      <c r="L418" s="61" t="e">
        <f>IF(F418&lt;&gt;0,K418/F418,0)</f>
        <v>#VALUE!</v>
      </c>
      <c r="M418" s="60" t="e">
        <f>+SUMIFS([51]section_article!$H$10:$H$936,[51]section_article!$C$10:$C$936,C418,[51]section_article!$D$10:$D$936,D418)</f>
        <v>#VALUE!</v>
      </c>
      <c r="N418" s="24" t="e">
        <f t="shared" si="233"/>
        <v>#VALUE!</v>
      </c>
      <c r="O418" s="9"/>
      <c r="Q418" s="63"/>
      <c r="AK418" s="64"/>
      <c r="AL418" s="64"/>
      <c r="AM418" s="64"/>
      <c r="AN418" s="64"/>
      <c r="AO418" s="11">
        <v>1214111</v>
      </c>
      <c r="AP418" s="65" t="str">
        <f t="shared" si="232"/>
        <v>12141115</v>
      </c>
    </row>
    <row r="419" spans="1:42" s="62" customFormat="1" ht="27.75" hidden="1" customHeight="1" thickTop="1" thickBot="1" x14ac:dyDescent="0.3">
      <c r="A419" s="56" t="s">
        <v>22</v>
      </c>
      <c r="B419" s="56" t="s">
        <v>22</v>
      </c>
      <c r="C419" s="57">
        <f t="shared" si="229"/>
        <v>1214111</v>
      </c>
      <c r="D419" s="58">
        <v>7</v>
      </c>
      <c r="E419" s="59" t="str">
        <f t="shared" si="230"/>
        <v>SUBVENTIONS,QUOTES-PARTS ET CONTRIB.,ALLOC, INDEMNISATIONS</v>
      </c>
      <c r="F419" s="60" t="e">
        <f>SUMIFS([49]mensuel_section_article1!$E$3:$E$962,[49]mensuel_section_article1!$B$3:$B$962,C419,[49]mensuel_section_article1!$C$3:$C$962,D419)</f>
        <v>#VALUE!</v>
      </c>
      <c r="G419" s="60" t="e">
        <f>SUMIFS([49]mensuel_section_article1!$G$3:$G$962,[49]mensuel_section_article1!$B$3:$B$962,C419,[49]mensuel_section_article1!$C$3:$C$962,D419)</f>
        <v>#VALUE!</v>
      </c>
      <c r="H419" s="60">
        <v>0</v>
      </c>
      <c r="I419" s="60">
        <v>0</v>
      </c>
      <c r="J419" s="60">
        <v>0</v>
      </c>
      <c r="K419" s="60">
        <f t="shared" si="231"/>
        <v>0</v>
      </c>
      <c r="L419" s="61" t="e">
        <f>IF(F419&lt;&gt;0,K419/F419,0)</f>
        <v>#VALUE!</v>
      </c>
      <c r="M419" s="60" t="e">
        <f>+SUMIFS([51]section_article!$H$10:$H$936,[51]section_article!$C$10:$C$936,C419,[51]section_article!$D$10:$D$936,D419)</f>
        <v>#VALUE!</v>
      </c>
      <c r="N419" s="24" t="e">
        <f t="shared" si="233"/>
        <v>#VALUE!</v>
      </c>
      <c r="O419" s="9"/>
      <c r="Q419" s="63"/>
      <c r="AK419" s="64"/>
      <c r="AL419" s="64"/>
      <c r="AM419" s="64"/>
      <c r="AN419" s="64"/>
      <c r="AO419" s="11">
        <v>1214111</v>
      </c>
      <c r="AP419" s="65" t="str">
        <f t="shared" si="232"/>
        <v>12141117</v>
      </c>
    </row>
    <row r="420" spans="1:42" s="62" customFormat="1" ht="27.75" customHeight="1" thickTop="1" thickBot="1" x14ac:dyDescent="0.3">
      <c r="A420" s="56" t="s">
        <v>22</v>
      </c>
      <c r="B420" s="56" t="s">
        <v>22</v>
      </c>
      <c r="C420" s="57">
        <f t="shared" si="229"/>
        <v>1214111</v>
      </c>
      <c r="D420" s="58">
        <v>9</v>
      </c>
      <c r="E420" s="59" t="str">
        <f t="shared" si="230"/>
        <v>AUTRES DEPENSES PUBLIQUES</v>
      </c>
      <c r="F420" s="60" t="e">
        <f>SUMIFS([49]mensuel_section_article1!$E$3:$E$962,[49]mensuel_section_article1!$B$3:$B$962,C420,[49]mensuel_section_article1!$C$3:$C$962,D420)</f>
        <v>#VALUE!</v>
      </c>
      <c r="G420" s="60" t="e">
        <f>SUMIFS([49]mensuel_section_article1!$G$3:$G$962,[49]mensuel_section_article1!$B$3:$B$962,C420,[49]mensuel_section_article1!$C$3:$C$962,D420)</f>
        <v>#VALUE!</v>
      </c>
      <c r="H420" s="60">
        <v>159000000</v>
      </c>
      <c r="I420" s="60">
        <v>159000000</v>
      </c>
      <c r="J420" s="60">
        <v>158999999</v>
      </c>
      <c r="K420" s="60">
        <f t="shared" si="231"/>
        <v>1</v>
      </c>
      <c r="L420" s="61">
        <f t="shared" ref="L420:L430" si="234">+J420/H420</f>
        <v>0.99999999371069181</v>
      </c>
      <c r="M420" s="60"/>
      <c r="N420" s="24"/>
      <c r="O420" s="9"/>
      <c r="Q420" s="63"/>
      <c r="AK420" s="64"/>
      <c r="AL420" s="64"/>
      <c r="AM420" s="64"/>
      <c r="AN420" s="64"/>
      <c r="AO420" s="11">
        <v>1214111</v>
      </c>
      <c r="AP420" s="65" t="str">
        <f t="shared" si="232"/>
        <v>12141119</v>
      </c>
    </row>
    <row r="421" spans="1:42" s="1" customFormat="1" ht="27.75" customHeight="1" thickTop="1" thickBot="1" x14ac:dyDescent="0.3">
      <c r="A421" s="50" t="s">
        <v>20</v>
      </c>
      <c r="B421" s="50" t="s">
        <v>20</v>
      </c>
      <c r="C421" s="50" t="s">
        <v>20</v>
      </c>
      <c r="D421" s="51">
        <v>1214112</v>
      </c>
      <c r="E421" s="67" t="s">
        <v>75</v>
      </c>
      <c r="F421" s="68" t="e">
        <f>SUMIF($B$421:$B$428,"article",F421:F428)</f>
        <v>#VALUE!</v>
      </c>
      <c r="G421" s="68" t="e">
        <f>SUMIF($B$421:$B$428,"article",G421:G428)</f>
        <v>#VALUE!</v>
      </c>
      <c r="H421" s="68">
        <f>SUMIF($B$421:$B$428,"article",H421:H428)</f>
        <v>594342957.13</v>
      </c>
      <c r="I421" s="68">
        <v>648437124.20000005</v>
      </c>
      <c r="J421" s="68">
        <f>SUMIF($B$421:$B$428,"article",J421:J428)</f>
        <v>502393088.1500001</v>
      </c>
      <c r="K421" s="68">
        <f>SUMIF($B$421:$B$428,"article",K421:K428)</f>
        <v>91949868.97999993</v>
      </c>
      <c r="L421" s="69">
        <f t="shared" si="234"/>
        <v>0.84529156461445576</v>
      </c>
      <c r="M421" s="68"/>
      <c r="N421" s="68"/>
      <c r="O421" s="9"/>
      <c r="Q421" s="23"/>
      <c r="AK421" s="70"/>
      <c r="AL421" s="70"/>
      <c r="AM421" s="70"/>
      <c r="AN421" s="70"/>
      <c r="AO421" s="11">
        <v>1214112</v>
      </c>
    </row>
    <row r="422" spans="1:42" s="62" customFormat="1" ht="27.75" customHeight="1" thickTop="1" thickBot="1" x14ac:dyDescent="0.3">
      <c r="A422" s="56" t="s">
        <v>22</v>
      </c>
      <c r="B422" s="56" t="s">
        <v>22</v>
      </c>
      <c r="C422" s="57">
        <f t="shared" ref="C422:C428" si="235">IF(A421="SECTION",D421,C421)</f>
        <v>1214112</v>
      </c>
      <c r="D422" s="58">
        <v>1</v>
      </c>
      <c r="E422" s="59" t="str">
        <f t="shared" ref="E422:E428" si="236">IF(D422=1, "DEPENSES DE PERSONNEL",  +IF(D422=2,"DEPENSES DE SERVICES ET CHARGES DIVERSES", +IF(D422=3,"ACHATS DE BIENS DE CONSOMMATION ET PETITS MATERIELS",+IF(D422=4,"IMMOBILISATION CORPORELLE",+IF(D422=5,"IMMOBILISATION INCORPORELLE",+IF(D422=7,"SUBVENTIONS,QUOTES-PARTS ET CONTRIB.,ALLOC, INDEMNISATIONS",+IF(D422=8,"AMORTISSEMENT DE LA DETTE",+IF(D422=9,"AUTRES DEPENSES PUBLIQUES",0))))))))</f>
        <v>DEPENSES DE PERSONNEL</v>
      </c>
      <c r="F422" s="60" t="e">
        <f>SUMIFS([49]mensuel_section_article1!$E$3:$E$962,[49]mensuel_section_article1!$B$3:$B$962,C422,[49]mensuel_section_article1!$C$3:$C$962,D422)</f>
        <v>#VALUE!</v>
      </c>
      <c r="G422" s="60" t="e">
        <f>SUMIFS([49]mensuel_section_article1!$G$3:$G$962,[49]mensuel_section_article1!$B$3:$B$962,C422,[49]mensuel_section_article1!$C$3:$C$962,D422)</f>
        <v>#VALUE!</v>
      </c>
      <c r="H422" s="60">
        <v>136259481.36000001</v>
      </c>
      <c r="I422" s="60">
        <v>150027964.40000004</v>
      </c>
      <c r="J422" s="60">
        <v>142570726.67000002</v>
      </c>
      <c r="K422" s="60">
        <f t="shared" ref="K422:K428" si="237">+H422-J422</f>
        <v>-6311245.3100000024</v>
      </c>
      <c r="L422" s="61">
        <f t="shared" si="234"/>
        <v>1.046317843331031</v>
      </c>
      <c r="M422" s="60"/>
      <c r="N422" s="24"/>
      <c r="O422" s="9"/>
      <c r="Q422" s="63"/>
      <c r="AK422" s="64"/>
      <c r="AL422" s="64"/>
      <c r="AM422" s="64"/>
      <c r="AN422" s="64"/>
      <c r="AO422" s="11">
        <v>1214112</v>
      </c>
      <c r="AP422" s="65" t="str">
        <f t="shared" ref="AP422:AP428" si="238">CONCATENATE(AO422,D422)</f>
        <v>12141121</v>
      </c>
    </row>
    <row r="423" spans="1:42" s="62" customFormat="1" ht="27.75" customHeight="1" thickTop="1" thickBot="1" x14ac:dyDescent="0.3">
      <c r="A423" s="56" t="s">
        <v>22</v>
      </c>
      <c r="B423" s="56" t="s">
        <v>22</v>
      </c>
      <c r="C423" s="57">
        <f t="shared" si="235"/>
        <v>1214112</v>
      </c>
      <c r="D423" s="96">
        <v>2</v>
      </c>
      <c r="E423" s="59" t="str">
        <f t="shared" si="236"/>
        <v>DEPENSES DE SERVICES ET CHARGES DIVERSES</v>
      </c>
      <c r="F423" s="60" t="e">
        <f>SUMIFS([49]mensuel_section_article1!$E$3:$E$962,[49]mensuel_section_article1!$B$3:$B$962,C423,[49]mensuel_section_article1!$C$3:$C$962,D423)</f>
        <v>#VALUE!</v>
      </c>
      <c r="G423" s="60" t="e">
        <f>SUMIFS([49]mensuel_section_article1!$G$3:$G$962,[49]mensuel_section_article1!$B$3:$B$962,C423,[49]mensuel_section_article1!$C$3:$C$962,D423)</f>
        <v>#VALUE!</v>
      </c>
      <c r="H423" s="60">
        <v>253842572.52999997</v>
      </c>
      <c r="I423" s="60">
        <v>317873602.5</v>
      </c>
      <c r="J423" s="60">
        <v>219604176.79000002</v>
      </c>
      <c r="K423" s="60">
        <f t="shared" si="237"/>
        <v>34238395.73999995</v>
      </c>
      <c r="L423" s="61">
        <f t="shared" si="234"/>
        <v>0.86511956840512427</v>
      </c>
      <c r="M423" s="60"/>
      <c r="N423" s="24"/>
      <c r="O423" s="9"/>
      <c r="Q423" s="63"/>
      <c r="AK423" s="97"/>
      <c r="AL423" s="97"/>
      <c r="AM423" s="97"/>
      <c r="AN423" s="97"/>
      <c r="AO423" s="11">
        <v>1214112</v>
      </c>
      <c r="AP423" s="65" t="str">
        <f t="shared" si="238"/>
        <v>12141122</v>
      </c>
    </row>
    <row r="424" spans="1:42" s="62" customFormat="1" ht="27.75" customHeight="1" thickTop="1" thickBot="1" x14ac:dyDescent="0.3">
      <c r="A424" s="56" t="s">
        <v>22</v>
      </c>
      <c r="B424" s="56" t="s">
        <v>22</v>
      </c>
      <c r="C424" s="57">
        <f t="shared" si="235"/>
        <v>1214112</v>
      </c>
      <c r="D424" s="96">
        <v>3</v>
      </c>
      <c r="E424" s="59" t="str">
        <f t="shared" si="236"/>
        <v>ACHATS DE BIENS DE CONSOMMATION ET PETITS MATERIELS</v>
      </c>
      <c r="F424" s="60" t="e">
        <f>SUMIFS([49]mensuel_section_article1!$E$3:$E$962,[49]mensuel_section_article1!$B$3:$B$962,C424,[49]mensuel_section_article1!$C$3:$C$962,D424)</f>
        <v>#VALUE!</v>
      </c>
      <c r="G424" s="60" t="e">
        <f>SUMIFS([49]mensuel_section_article1!$G$3:$G$962,[49]mensuel_section_article1!$B$3:$B$962,C424,[49]mensuel_section_article1!$C$3:$C$962,D424)</f>
        <v>#VALUE!</v>
      </c>
      <c r="H424" s="60">
        <v>100800017.25</v>
      </c>
      <c r="I424" s="60">
        <v>84571015.300000012</v>
      </c>
      <c r="J424" s="60">
        <v>69761397.710000008</v>
      </c>
      <c r="K424" s="60">
        <f t="shared" si="237"/>
        <v>31038619.539999992</v>
      </c>
      <c r="L424" s="61">
        <f t="shared" si="234"/>
        <v>0.69207723979828994</v>
      </c>
      <c r="M424" s="60"/>
      <c r="N424" s="24"/>
      <c r="O424" s="9"/>
      <c r="Q424" s="63"/>
      <c r="AK424" s="97"/>
      <c r="AL424" s="97"/>
      <c r="AM424" s="97"/>
      <c r="AN424" s="97"/>
      <c r="AO424" s="11">
        <v>1214112</v>
      </c>
      <c r="AP424" s="65" t="str">
        <f t="shared" si="238"/>
        <v>12141123</v>
      </c>
    </row>
    <row r="425" spans="1:42" s="62" customFormat="1" ht="27.75" customHeight="1" thickTop="1" thickBot="1" x14ac:dyDescent="0.3">
      <c r="A425" s="56" t="s">
        <v>22</v>
      </c>
      <c r="B425" s="56" t="s">
        <v>22</v>
      </c>
      <c r="C425" s="57">
        <f t="shared" si="235"/>
        <v>1214112</v>
      </c>
      <c r="D425" s="96">
        <v>4</v>
      </c>
      <c r="E425" s="59" t="str">
        <f t="shared" si="236"/>
        <v>IMMOBILISATION CORPORELLE</v>
      </c>
      <c r="F425" s="60" t="e">
        <f>SUMIFS([49]mensuel_section_article1!$E$3:$E$962,[49]mensuel_section_article1!$B$3:$B$962,C425,[49]mensuel_section_article1!$C$3:$C$962,D425)</f>
        <v>#VALUE!</v>
      </c>
      <c r="G425" s="60" t="e">
        <f>SUMIFS([49]mensuel_section_article1!$G$3:$G$962,[49]mensuel_section_article1!$B$3:$B$962,C425,[49]mensuel_section_article1!$C$3:$C$962,D425)</f>
        <v>#VALUE!</v>
      </c>
      <c r="H425" s="60">
        <v>14424448.010000002</v>
      </c>
      <c r="I425" s="60">
        <v>14424448</v>
      </c>
      <c r="J425" s="60">
        <v>5451844.9799999995</v>
      </c>
      <c r="K425" s="60">
        <f t="shared" si="237"/>
        <v>8972603.0300000012</v>
      </c>
      <c r="L425" s="61">
        <f t="shared" si="234"/>
        <v>0.37795865576418675</v>
      </c>
      <c r="M425" s="60"/>
      <c r="N425" s="24"/>
      <c r="O425" s="9"/>
      <c r="Q425" s="63"/>
      <c r="AK425" s="97"/>
      <c r="AL425" s="97"/>
      <c r="AM425" s="97"/>
      <c r="AN425" s="97"/>
      <c r="AO425" s="11">
        <v>1214112</v>
      </c>
      <c r="AP425" s="65" t="str">
        <f t="shared" si="238"/>
        <v>12141124</v>
      </c>
    </row>
    <row r="426" spans="1:42" s="62" customFormat="1" ht="27.75" customHeight="1" thickTop="1" thickBot="1" x14ac:dyDescent="0.3">
      <c r="A426" s="56" t="s">
        <v>22</v>
      </c>
      <c r="B426" s="56" t="s">
        <v>22</v>
      </c>
      <c r="C426" s="57">
        <f t="shared" si="235"/>
        <v>1214112</v>
      </c>
      <c r="D426" s="96">
        <v>5</v>
      </c>
      <c r="E426" s="59" t="str">
        <f t="shared" si="236"/>
        <v>IMMOBILISATION INCORPORELLE</v>
      </c>
      <c r="F426" s="60" t="e">
        <f>SUMIFS([49]mensuel_section_article1!$E$3:$E$962,[49]mensuel_section_article1!$B$3:$B$962,C426,[49]mensuel_section_article1!$C$3:$C$962,D426)</f>
        <v>#VALUE!</v>
      </c>
      <c r="G426" s="60" t="e">
        <f>SUMIFS([49]mensuel_section_article1!$G$3:$G$962,[49]mensuel_section_article1!$B$3:$B$962,C426,[49]mensuel_section_article1!$C$3:$C$962,D426)</f>
        <v>#VALUE!</v>
      </c>
      <c r="H426" s="60">
        <v>1000000</v>
      </c>
      <c r="I426" s="60">
        <v>1000000</v>
      </c>
      <c r="J426" s="60">
        <v>481250</v>
      </c>
      <c r="K426" s="60">
        <f t="shared" si="237"/>
        <v>518750</v>
      </c>
      <c r="L426" s="61">
        <f t="shared" si="234"/>
        <v>0.48125000000000001</v>
      </c>
      <c r="M426" s="60"/>
      <c r="N426" s="24"/>
      <c r="O426" s="9"/>
      <c r="Q426" s="63"/>
      <c r="AK426" s="97"/>
      <c r="AL426" s="97"/>
      <c r="AM426" s="97"/>
      <c r="AN426" s="97"/>
      <c r="AO426" s="11">
        <v>1214112</v>
      </c>
      <c r="AP426" s="65" t="str">
        <f t="shared" si="238"/>
        <v>12141125</v>
      </c>
    </row>
    <row r="427" spans="1:42" s="62" customFormat="1" ht="27.75" customHeight="1" thickTop="1" thickBot="1" x14ac:dyDescent="0.3">
      <c r="A427" s="56" t="s">
        <v>22</v>
      </c>
      <c r="B427" s="56" t="s">
        <v>22</v>
      </c>
      <c r="C427" s="57">
        <f t="shared" si="235"/>
        <v>1214112</v>
      </c>
      <c r="D427" s="96">
        <v>7</v>
      </c>
      <c r="E427" s="59" t="str">
        <f t="shared" si="236"/>
        <v>SUBVENTIONS,QUOTES-PARTS ET CONTRIB.,ALLOC, INDEMNISATIONS</v>
      </c>
      <c r="F427" s="60" t="e">
        <f>SUMIFS([49]mensuel_section_article1!$E$3:$E$962,[49]mensuel_section_article1!$B$3:$B$962,C427,[49]mensuel_section_article1!$C$3:$C$962,D427)</f>
        <v>#VALUE!</v>
      </c>
      <c r="G427" s="60" t="e">
        <f>SUMIFS([49]mensuel_section_article1!$G$3:$G$962,[49]mensuel_section_article1!$B$3:$B$962,C427,[49]mensuel_section_article1!$C$3:$C$962,D427)</f>
        <v>#VALUE!</v>
      </c>
      <c r="H427" s="60">
        <v>2000054</v>
      </c>
      <c r="I427" s="60">
        <v>1523710</v>
      </c>
      <c r="J427" s="60">
        <v>1523692</v>
      </c>
      <c r="K427" s="60">
        <f t="shared" si="237"/>
        <v>476362</v>
      </c>
      <c r="L427" s="61">
        <f t="shared" si="234"/>
        <v>0.76182543071337072</v>
      </c>
      <c r="M427" s="60"/>
      <c r="N427" s="24"/>
      <c r="O427" s="9"/>
      <c r="Q427" s="63"/>
      <c r="AK427" s="97"/>
      <c r="AL427" s="97"/>
      <c r="AM427" s="97"/>
      <c r="AN427" s="97"/>
      <c r="AO427" s="11">
        <v>1214112</v>
      </c>
      <c r="AP427" s="65" t="str">
        <f t="shared" si="238"/>
        <v>12141127</v>
      </c>
    </row>
    <row r="428" spans="1:42" s="62" customFormat="1" ht="27.75" customHeight="1" thickTop="1" thickBot="1" x14ac:dyDescent="0.3">
      <c r="A428" s="56" t="s">
        <v>22</v>
      </c>
      <c r="B428" s="56" t="s">
        <v>22</v>
      </c>
      <c r="C428" s="57">
        <f t="shared" si="235"/>
        <v>1214112</v>
      </c>
      <c r="D428" s="58">
        <v>9</v>
      </c>
      <c r="E428" s="59" t="str">
        <f t="shared" si="236"/>
        <v>AUTRES DEPENSES PUBLIQUES</v>
      </c>
      <c r="F428" s="60" t="e">
        <f>SUMIFS([49]mensuel_section_article1!$E$3:$E$962,[49]mensuel_section_article1!$B$3:$B$962,C428,[49]mensuel_section_article1!$C$3:$C$962,D428)</f>
        <v>#VALUE!</v>
      </c>
      <c r="G428" s="60" t="e">
        <f>SUMIFS([49]mensuel_section_article1!$G$3:$G$962,[49]mensuel_section_article1!$B$3:$B$962,C428,[49]mensuel_section_article1!$C$3:$C$962,D428)</f>
        <v>#VALUE!</v>
      </c>
      <c r="H428" s="60">
        <v>86016383.979999989</v>
      </c>
      <c r="I428" s="60">
        <v>79016384</v>
      </c>
      <c r="J428" s="60">
        <v>63000000</v>
      </c>
      <c r="K428" s="60">
        <f t="shared" si="237"/>
        <v>23016383.979999989</v>
      </c>
      <c r="L428" s="61">
        <f t="shared" si="234"/>
        <v>0.7324186054443812</v>
      </c>
      <c r="M428" s="60"/>
      <c r="N428" s="24"/>
      <c r="O428" s="9"/>
      <c r="Q428" s="63"/>
      <c r="AK428" s="64"/>
      <c r="AL428" s="64"/>
      <c r="AM428" s="64"/>
      <c r="AN428" s="64"/>
      <c r="AO428" s="11">
        <v>1214112</v>
      </c>
      <c r="AP428" s="65" t="str">
        <f t="shared" si="238"/>
        <v>12141129</v>
      </c>
    </row>
    <row r="429" spans="1:42" s="1" customFormat="1" ht="27.75" customHeight="1" thickTop="1" thickBot="1" x14ac:dyDescent="0.3">
      <c r="A429" s="50" t="s">
        <v>20</v>
      </c>
      <c r="B429" s="50" t="s">
        <v>20</v>
      </c>
      <c r="C429" s="50" t="s">
        <v>20</v>
      </c>
      <c r="D429" s="51">
        <v>1214113</v>
      </c>
      <c r="E429" s="67" t="s">
        <v>76</v>
      </c>
      <c r="F429" s="68" t="e">
        <f>SUMIF($B$429:$B$436,"article",F429:F436)</f>
        <v>#VALUE!</v>
      </c>
      <c r="G429" s="68" t="e">
        <f>SUMIF($B$429:$B$436,"article",G429:G436)</f>
        <v>#VALUE!</v>
      </c>
      <c r="H429" s="68">
        <f>SUMIF($B$429:$B$436,"article",H429:H436)</f>
        <v>686084270.38</v>
      </c>
      <c r="I429" s="68">
        <v>619915586.0999999</v>
      </c>
      <c r="J429" s="68">
        <f>SUMIF($B$429:$B$436,"article",J429:J436)</f>
        <v>547208936.96000004</v>
      </c>
      <c r="K429" s="68">
        <f>SUMIF($B$429:$B$436,"article",K429:K436)</f>
        <v>138875333.41999993</v>
      </c>
      <c r="L429" s="69">
        <f t="shared" si="234"/>
        <v>0.79758268857689829</v>
      </c>
      <c r="M429" s="68"/>
      <c r="N429" s="68"/>
      <c r="O429" s="9"/>
      <c r="Q429" s="23"/>
      <c r="AK429" s="70"/>
      <c r="AL429" s="70"/>
      <c r="AM429" s="70"/>
      <c r="AN429" s="70"/>
      <c r="AO429" s="11">
        <v>1214113</v>
      </c>
    </row>
    <row r="430" spans="1:42" s="62" customFormat="1" ht="27.75" customHeight="1" thickTop="1" thickBot="1" x14ac:dyDescent="0.3">
      <c r="A430" s="56" t="s">
        <v>22</v>
      </c>
      <c r="B430" s="56" t="s">
        <v>22</v>
      </c>
      <c r="C430" s="57">
        <f t="shared" ref="C430:C436" si="239">IF(A429="SECTION",D429,C429)</f>
        <v>1214113</v>
      </c>
      <c r="D430" s="58">
        <v>1</v>
      </c>
      <c r="E430" s="59" t="str">
        <f t="shared" ref="E430:E436" si="240">IF(D430=1, "DEPENSES DE PERSONNEL",  +IF(D430=2,"DEPENSES DE SERVICES ET CHARGES DIVERSES", +IF(D430=3,"ACHATS DE BIENS DE CONSOMMATION ET PETITS MATERIELS",+IF(D430=4,"IMMOBILISATION CORPORELLE",+IF(D430=5,"IMMOBILISATION INCORPORELLE",+IF(D430=7,"SUBVENTIONS,QUOTES-PARTS ET CONTRIB.,ALLOC, INDEMNISATIONS",+IF(D430=8,"AMORTISSEMENT DE LA DETTE",+IF(D430=9,"AUTRES DEPENSES PUBLIQUES",0))))))))</f>
        <v>DEPENSES DE PERSONNEL</v>
      </c>
      <c r="F430" s="60" t="e">
        <f>SUMIFS([49]mensuel_section_article1!$E$3:$E$962,[49]mensuel_section_article1!$B$3:$B$962,C430,[49]mensuel_section_article1!$C$3:$C$962,D430)</f>
        <v>#VALUE!</v>
      </c>
      <c r="G430" s="60" t="e">
        <f>SUMIFS([49]mensuel_section_article1!$G$3:$G$962,[49]mensuel_section_article1!$B$3:$B$962,C430,[49]mensuel_section_article1!$C$3:$C$962,D430)</f>
        <v>#VALUE!</v>
      </c>
      <c r="H430" s="60">
        <v>350474898.35999995</v>
      </c>
      <c r="I430" s="60">
        <v>324631898.39999998</v>
      </c>
      <c r="J430" s="60">
        <v>312216150.96000004</v>
      </c>
      <c r="K430" s="60">
        <f t="shared" ref="K430:K436" si="241">+H430-J430</f>
        <v>38258747.399999917</v>
      </c>
      <c r="L430" s="61">
        <f t="shared" si="234"/>
        <v>0.89083741067041733</v>
      </c>
      <c r="M430" s="60"/>
      <c r="N430" s="24"/>
      <c r="O430" s="9"/>
      <c r="Q430" s="63"/>
      <c r="AK430" s="64"/>
      <c r="AL430" s="64"/>
      <c r="AM430" s="64"/>
      <c r="AN430" s="64"/>
      <c r="AO430" s="11">
        <v>1214113</v>
      </c>
      <c r="AP430" s="65" t="str">
        <f t="shared" ref="AP430:AP436" si="242">CONCATENATE(AO430,D430)</f>
        <v>12141131</v>
      </c>
    </row>
    <row r="431" spans="1:42" s="62" customFormat="1" ht="27.75" hidden="1" customHeight="1" thickTop="1" thickBot="1" x14ac:dyDescent="0.3">
      <c r="A431" s="56" t="s">
        <v>22</v>
      </c>
      <c r="B431" s="56" t="s">
        <v>22</v>
      </c>
      <c r="C431" s="57">
        <f t="shared" si="239"/>
        <v>1214113</v>
      </c>
      <c r="D431" s="96">
        <v>2</v>
      </c>
      <c r="E431" s="59" t="str">
        <f t="shared" si="240"/>
        <v>DEPENSES DE SERVICES ET CHARGES DIVERSES</v>
      </c>
      <c r="F431" s="60" t="e">
        <f>SUMIFS([49]mensuel_section_article1!$E$3:$E$962,[49]mensuel_section_article1!$B$3:$B$962,C431,[49]mensuel_section_article1!$C$3:$C$962,D431)</f>
        <v>#VALUE!</v>
      </c>
      <c r="G431" s="60" t="e">
        <f>SUMIFS([49]mensuel_section_article1!$G$3:$G$962,[49]mensuel_section_article1!$B$3:$B$962,C431,[49]mensuel_section_article1!$C$3:$C$962,D431)</f>
        <v>#VALUE!</v>
      </c>
      <c r="H431" s="60">
        <v>0</v>
      </c>
      <c r="I431" s="60">
        <v>0</v>
      </c>
      <c r="J431" s="60">
        <v>0</v>
      </c>
      <c r="K431" s="60">
        <f t="shared" si="241"/>
        <v>0</v>
      </c>
      <c r="L431" s="61" t="e">
        <f>IF(F431&lt;&gt;0,K431/F431,0)</f>
        <v>#VALUE!</v>
      </c>
      <c r="M431" s="60" t="e">
        <f>+SUMIFS([51]section_article!$H$10:$H$936,[51]section_article!$C$10:$C$936,C431,[51]section_article!$D$10:$D$936,D431)</f>
        <v>#VALUE!</v>
      </c>
      <c r="N431" s="24" t="e">
        <f t="shared" ref="N430:N436" si="243">+J431-M431</f>
        <v>#VALUE!</v>
      </c>
      <c r="O431" s="9"/>
      <c r="Q431" s="63"/>
      <c r="AK431" s="97"/>
      <c r="AL431" s="97"/>
      <c r="AM431" s="97"/>
      <c r="AN431" s="97"/>
      <c r="AO431" s="11">
        <v>1214113</v>
      </c>
      <c r="AP431" s="65" t="str">
        <f t="shared" si="242"/>
        <v>12141132</v>
      </c>
    </row>
    <row r="432" spans="1:42" s="62" customFormat="1" ht="27.75" customHeight="1" thickTop="1" thickBot="1" x14ac:dyDescent="0.3">
      <c r="A432" s="56" t="s">
        <v>22</v>
      </c>
      <c r="B432" s="56" t="s">
        <v>22</v>
      </c>
      <c r="C432" s="57">
        <f t="shared" si="239"/>
        <v>1214113</v>
      </c>
      <c r="D432" s="96">
        <v>3</v>
      </c>
      <c r="E432" s="59" t="str">
        <f t="shared" si="240"/>
        <v>ACHATS DE BIENS DE CONSOMMATION ET PETITS MATERIELS</v>
      </c>
      <c r="F432" s="60" t="e">
        <f>SUMIFS([49]mensuel_section_article1!$E$3:$E$962,[49]mensuel_section_article1!$B$3:$B$962,C432,[49]mensuel_section_article1!$C$3:$C$962,D432)</f>
        <v>#VALUE!</v>
      </c>
      <c r="G432" s="60" t="e">
        <f>SUMIFS([49]mensuel_section_article1!$G$3:$G$962,[49]mensuel_section_article1!$B$3:$B$962,C432,[49]mensuel_section_article1!$C$3:$C$962,D432)</f>
        <v>#VALUE!</v>
      </c>
      <c r="H432" s="60">
        <v>181327865.24000001</v>
      </c>
      <c r="I432" s="60">
        <v>140525837.19999999</v>
      </c>
      <c r="J432" s="60">
        <v>84219880</v>
      </c>
      <c r="K432" s="60">
        <f t="shared" si="241"/>
        <v>97107985.24000001</v>
      </c>
      <c r="L432" s="61">
        <f>+J432/H432</f>
        <v>0.46446187346070139</v>
      </c>
      <c r="M432" s="60"/>
      <c r="N432" s="24"/>
      <c r="O432" s="9"/>
      <c r="Q432" s="63"/>
      <c r="AK432" s="97"/>
      <c r="AL432" s="97"/>
      <c r="AM432" s="97"/>
      <c r="AN432" s="97"/>
      <c r="AO432" s="11">
        <v>1214113</v>
      </c>
      <c r="AP432" s="65" t="str">
        <f t="shared" si="242"/>
        <v>12141133</v>
      </c>
    </row>
    <row r="433" spans="1:42" s="62" customFormat="1" ht="27.75" hidden="1" customHeight="1" thickTop="1" thickBot="1" x14ac:dyDescent="0.3">
      <c r="A433" s="56" t="s">
        <v>22</v>
      </c>
      <c r="B433" s="56" t="s">
        <v>22</v>
      </c>
      <c r="C433" s="57">
        <f t="shared" si="239"/>
        <v>1214113</v>
      </c>
      <c r="D433" s="96">
        <v>4</v>
      </c>
      <c r="E433" s="59" t="str">
        <f t="shared" si="240"/>
        <v>IMMOBILISATION CORPORELLE</v>
      </c>
      <c r="F433" s="60" t="e">
        <f>SUMIFS([49]mensuel_section_article1!$E$3:$E$962,[49]mensuel_section_article1!$B$3:$B$962,C433,[49]mensuel_section_article1!$C$3:$C$962,D433)</f>
        <v>#VALUE!</v>
      </c>
      <c r="G433" s="60" t="e">
        <f>SUMIFS([49]mensuel_section_article1!$G$3:$G$962,[49]mensuel_section_article1!$B$3:$B$962,C433,[49]mensuel_section_article1!$C$3:$C$962,D433)</f>
        <v>#VALUE!</v>
      </c>
      <c r="H433" s="60">
        <v>0</v>
      </c>
      <c r="I433" s="60">
        <v>0</v>
      </c>
      <c r="J433" s="60">
        <v>0</v>
      </c>
      <c r="K433" s="60">
        <f t="shared" si="241"/>
        <v>0</v>
      </c>
      <c r="L433" s="61" t="e">
        <f>IF(F433&lt;&gt;0,K433/F433,0)</f>
        <v>#VALUE!</v>
      </c>
      <c r="M433" s="60" t="e">
        <f>+SUMIFS([51]section_article!$H$10:$H$936,[51]section_article!$C$10:$C$936,C433,[51]section_article!$D$10:$D$936,D433)</f>
        <v>#VALUE!</v>
      </c>
      <c r="N433" s="24" t="e">
        <f t="shared" si="243"/>
        <v>#VALUE!</v>
      </c>
      <c r="O433" s="9"/>
      <c r="Q433" s="63"/>
      <c r="AK433" s="97"/>
      <c r="AL433" s="97"/>
      <c r="AM433" s="97"/>
      <c r="AN433" s="97"/>
      <c r="AO433" s="11">
        <v>1214113</v>
      </c>
      <c r="AP433" s="65" t="str">
        <f t="shared" si="242"/>
        <v>12141134</v>
      </c>
    </row>
    <row r="434" spans="1:42" s="62" customFormat="1" ht="27.75" hidden="1" customHeight="1" thickTop="1" thickBot="1" x14ac:dyDescent="0.3">
      <c r="A434" s="56" t="s">
        <v>22</v>
      </c>
      <c r="B434" s="56" t="s">
        <v>22</v>
      </c>
      <c r="C434" s="57">
        <f t="shared" si="239"/>
        <v>1214113</v>
      </c>
      <c r="D434" s="96">
        <v>5</v>
      </c>
      <c r="E434" s="59" t="str">
        <f t="shared" si="240"/>
        <v>IMMOBILISATION INCORPORELLE</v>
      </c>
      <c r="F434" s="60" t="e">
        <f>SUMIFS([49]mensuel_section_article1!$E$3:$E$962,[49]mensuel_section_article1!$B$3:$B$962,C434,[49]mensuel_section_article1!$C$3:$C$962,D434)</f>
        <v>#VALUE!</v>
      </c>
      <c r="G434" s="60" t="e">
        <f>SUMIFS([49]mensuel_section_article1!$G$3:$G$962,[49]mensuel_section_article1!$B$3:$B$962,C434,[49]mensuel_section_article1!$C$3:$C$962,D434)</f>
        <v>#VALUE!</v>
      </c>
      <c r="H434" s="60">
        <v>0</v>
      </c>
      <c r="I434" s="60">
        <v>0</v>
      </c>
      <c r="J434" s="60">
        <v>0</v>
      </c>
      <c r="K434" s="60">
        <f t="shared" si="241"/>
        <v>0</v>
      </c>
      <c r="L434" s="61" t="e">
        <f>IF(F434&lt;&gt;0,K434/F434,0)</f>
        <v>#VALUE!</v>
      </c>
      <c r="M434" s="60" t="e">
        <f>+SUMIFS([51]section_article!$H$10:$H$936,[51]section_article!$C$10:$C$936,C434,[51]section_article!$D$10:$D$936,D434)</f>
        <v>#VALUE!</v>
      </c>
      <c r="N434" s="24" t="e">
        <f t="shared" si="243"/>
        <v>#VALUE!</v>
      </c>
      <c r="O434" s="9"/>
      <c r="Q434" s="63"/>
      <c r="AK434" s="97"/>
      <c r="AL434" s="97"/>
      <c r="AM434" s="97"/>
      <c r="AN434" s="97"/>
      <c r="AO434" s="11">
        <v>1214113</v>
      </c>
      <c r="AP434" s="65" t="str">
        <f t="shared" si="242"/>
        <v>12141135</v>
      </c>
    </row>
    <row r="435" spans="1:42" s="62" customFormat="1" ht="27.75" customHeight="1" thickTop="1" thickBot="1" x14ac:dyDescent="0.3">
      <c r="A435" s="56" t="s">
        <v>22</v>
      </c>
      <c r="B435" s="56" t="s">
        <v>22</v>
      </c>
      <c r="C435" s="57">
        <f t="shared" si="239"/>
        <v>1214113</v>
      </c>
      <c r="D435" s="96">
        <v>7</v>
      </c>
      <c r="E435" s="59" t="str">
        <f t="shared" si="240"/>
        <v>SUBVENTIONS,QUOTES-PARTS ET CONTRIB.,ALLOC, INDEMNISATIONS</v>
      </c>
      <c r="F435" s="60" t="e">
        <f>SUMIFS([49]mensuel_section_article1!$E$3:$E$962,[49]mensuel_section_article1!$B$3:$B$962,C435,[49]mensuel_section_article1!$C$3:$C$962,D435)</f>
        <v>#VALUE!</v>
      </c>
      <c r="G435" s="60" t="e">
        <f>SUMIFS([49]mensuel_section_article1!$G$3:$G$962,[49]mensuel_section_article1!$B$3:$B$962,C435,[49]mensuel_section_article1!$C$3:$C$962,D435)</f>
        <v>#VALUE!</v>
      </c>
      <c r="H435" s="60">
        <v>10281326.300000001</v>
      </c>
      <c r="I435" s="60">
        <v>10757670</v>
      </c>
      <c r="J435" s="60">
        <v>6772736</v>
      </c>
      <c r="K435" s="60">
        <f t="shared" si="241"/>
        <v>3508590.3000000007</v>
      </c>
      <c r="L435" s="61">
        <f t="shared" ref="L435:L445" si="244">+J435/H435</f>
        <v>0.6587414699599603</v>
      </c>
      <c r="M435" s="60"/>
      <c r="N435" s="24"/>
      <c r="O435" s="9"/>
      <c r="Q435" s="63"/>
      <c r="AK435" s="97"/>
      <c r="AL435" s="97"/>
      <c r="AM435" s="97"/>
      <c r="AN435" s="97"/>
      <c r="AO435" s="11">
        <v>1214113</v>
      </c>
      <c r="AP435" s="65" t="str">
        <f t="shared" si="242"/>
        <v>12141137</v>
      </c>
    </row>
    <row r="436" spans="1:42" s="62" customFormat="1" ht="27.75" customHeight="1" thickTop="1" thickBot="1" x14ac:dyDescent="0.3">
      <c r="A436" s="56" t="s">
        <v>22</v>
      </c>
      <c r="B436" s="56" t="s">
        <v>22</v>
      </c>
      <c r="C436" s="57">
        <f t="shared" si="239"/>
        <v>1214113</v>
      </c>
      <c r="D436" s="58">
        <v>9</v>
      </c>
      <c r="E436" s="59" t="str">
        <f t="shared" si="240"/>
        <v>AUTRES DEPENSES PUBLIQUES</v>
      </c>
      <c r="F436" s="60" t="e">
        <f>SUMIFS([49]mensuel_section_article1!$E$3:$E$962,[49]mensuel_section_article1!$B$3:$B$962,C436,[49]mensuel_section_article1!$C$3:$C$962,D436)</f>
        <v>#VALUE!</v>
      </c>
      <c r="G436" s="60" t="e">
        <f>SUMIFS([49]mensuel_section_article1!$G$3:$G$962,[49]mensuel_section_article1!$B$3:$B$962,C436,[49]mensuel_section_article1!$C$3:$C$962,D436)</f>
        <v>#VALUE!</v>
      </c>
      <c r="H436" s="60">
        <v>144000180.47999999</v>
      </c>
      <c r="I436" s="60">
        <v>144000180.5</v>
      </c>
      <c r="J436" s="60">
        <v>144000170</v>
      </c>
      <c r="K436" s="60">
        <f t="shared" si="241"/>
        <v>10.479999989271164</v>
      </c>
      <c r="L436" s="61">
        <f t="shared" si="244"/>
        <v>0.99999992722231346</v>
      </c>
      <c r="M436" s="60"/>
      <c r="N436" s="24"/>
      <c r="O436" s="9"/>
      <c r="Q436" s="63"/>
      <c r="AK436" s="64"/>
      <c r="AL436" s="64"/>
      <c r="AM436" s="64"/>
      <c r="AN436" s="64"/>
      <c r="AO436" s="11">
        <v>1214113</v>
      </c>
      <c r="AP436" s="65" t="str">
        <f t="shared" si="242"/>
        <v>12141139</v>
      </c>
    </row>
    <row r="437" spans="1:42" s="1" customFormat="1" ht="27.75" customHeight="1" thickTop="1" thickBot="1" x14ac:dyDescent="0.3">
      <c r="A437" s="50" t="s">
        <v>20</v>
      </c>
      <c r="B437" s="50" t="s">
        <v>20</v>
      </c>
      <c r="C437" s="50" t="s">
        <v>20</v>
      </c>
      <c r="D437" s="51">
        <v>1214114</v>
      </c>
      <c r="E437" s="67" t="s">
        <v>77</v>
      </c>
      <c r="F437" s="68" t="e">
        <f>SUMIF($B$438:$B$438,"article",F438:F438)</f>
        <v>#VALUE!</v>
      </c>
      <c r="G437" s="68" t="e">
        <f>SUMIF($B$438:$B$438,"article",G438:G438)</f>
        <v>#VALUE!</v>
      </c>
      <c r="H437" s="68">
        <f>SUMIF($B$438:$B$438,"article",H438:H438)</f>
        <v>121600000</v>
      </c>
      <c r="I437" s="68">
        <v>121600000</v>
      </c>
      <c r="J437" s="68">
        <f>SUMIF($B$438:$B$438,"article",J438:J438)</f>
        <v>121599998</v>
      </c>
      <c r="K437" s="68">
        <f>SUMIF($B$438:$B$438,"article",K438:K438)</f>
        <v>2</v>
      </c>
      <c r="L437" s="69">
        <f t="shared" si="244"/>
        <v>0.99999998355263153</v>
      </c>
      <c r="M437" s="68"/>
      <c r="N437" s="68"/>
      <c r="O437" s="9"/>
      <c r="Q437" s="23"/>
      <c r="AK437" s="70"/>
      <c r="AL437" s="70"/>
      <c r="AM437" s="70"/>
      <c r="AN437" s="70"/>
      <c r="AO437" s="11">
        <v>1214114</v>
      </c>
    </row>
    <row r="438" spans="1:42" s="62" customFormat="1" ht="27.75" customHeight="1" thickTop="1" thickBot="1" x14ac:dyDescent="0.3">
      <c r="A438" s="56" t="s">
        <v>22</v>
      </c>
      <c r="B438" s="56" t="s">
        <v>22</v>
      </c>
      <c r="C438" s="57">
        <f>IF(A437="SECTION",D437,C437)</f>
        <v>1214114</v>
      </c>
      <c r="D438" s="58">
        <v>9</v>
      </c>
      <c r="E438" s="59" t="str">
        <f>IF(D438=1, "DEPENSES DE PERSONNEL",  +IF(D438=2,"DEPENSES DE SERVICES ET CHARGES DIVERSES", +IF(D438=3,"ACHATS DE BIENS DE CONSOMMATION ET PETITS MATERIELS",+IF(D438=4,"IMMOBILISATION CORPORELLE",+IF(D438=5,"IMMOBILISATION INCORPORELLE",+IF(D438=7,"SUBVENTIONS,QUOTES-PARTS ET CONTRIB.,ALLOC, INDEMNISATIONS",+IF(D438=8,"AMORTISSEMENT DE LA DETTE",+IF(D438=9,"AUTRES DEPENSES PUBLIQUES",0))))))))</f>
        <v>AUTRES DEPENSES PUBLIQUES</v>
      </c>
      <c r="F438" s="60" t="e">
        <f>SUMIFS([49]mensuel_section_article1!$E$3:$E$962,[49]mensuel_section_article1!$B$3:$B$962,C438,[49]mensuel_section_article1!$C$3:$C$962,D438)</f>
        <v>#VALUE!</v>
      </c>
      <c r="G438" s="60" t="e">
        <f>SUMIFS([49]mensuel_section_article1!$G$3:$G$962,[49]mensuel_section_article1!$B$3:$B$962,C438,[49]mensuel_section_article1!$C$3:$C$962,D438)</f>
        <v>#VALUE!</v>
      </c>
      <c r="H438" s="60">
        <v>121600000</v>
      </c>
      <c r="I438" s="60">
        <v>121600000</v>
      </c>
      <c r="J438" s="60">
        <v>121599998</v>
      </c>
      <c r="K438" s="60">
        <f>+H438-J438</f>
        <v>2</v>
      </c>
      <c r="L438" s="61">
        <f t="shared" si="244"/>
        <v>0.99999998355263153</v>
      </c>
      <c r="M438" s="60"/>
      <c r="N438" s="24"/>
      <c r="O438" s="9"/>
      <c r="Q438" s="63"/>
      <c r="AK438" s="64"/>
      <c r="AL438" s="64"/>
      <c r="AM438" s="64"/>
      <c r="AN438" s="64"/>
      <c r="AO438" s="11">
        <v>1214114</v>
      </c>
      <c r="AP438" s="65" t="str">
        <f>CONCATENATE(AO438,D438)</f>
        <v>12141149</v>
      </c>
    </row>
    <row r="439" spans="1:42" s="1" customFormat="1" ht="27.75" customHeight="1" thickTop="1" x14ac:dyDescent="0.25">
      <c r="A439" s="37" t="s">
        <v>16</v>
      </c>
      <c r="B439" s="37" t="s">
        <v>16</v>
      </c>
      <c r="C439" s="37" t="s">
        <v>16</v>
      </c>
      <c r="D439" s="73">
        <v>1215</v>
      </c>
      <c r="E439" s="74" t="s">
        <v>78</v>
      </c>
      <c r="F439" s="75" t="e">
        <f>SUMIF($B$440:$B$497,"chap",F440:F497)</f>
        <v>#VALUE!</v>
      </c>
      <c r="G439" s="75" t="e">
        <f>SUMIF($B$440:$B$497,"chap",G440:G497)</f>
        <v>#VALUE!</v>
      </c>
      <c r="H439" s="75">
        <f>SUMIF($B$440:$B$497,"chap",H440:H497)</f>
        <v>2067439186.299</v>
      </c>
      <c r="I439" s="75">
        <v>2047439186.3000002</v>
      </c>
      <c r="J439" s="75">
        <f>SUMIF($B$440:$B$497,"chap",J440:J497)</f>
        <v>1969999130.48</v>
      </c>
      <c r="K439" s="75">
        <f>SUMIF($B$440:$B$497,"chap",K440:K497)</f>
        <v>97440055.818999931</v>
      </c>
      <c r="L439" s="76">
        <f t="shared" si="244"/>
        <v>0.95286920337742509</v>
      </c>
      <c r="M439" s="75"/>
      <c r="N439" s="75"/>
      <c r="O439" s="9"/>
      <c r="Q439" s="23"/>
      <c r="AK439" s="77"/>
      <c r="AL439" s="77"/>
      <c r="AM439" s="77"/>
      <c r="AN439" s="77"/>
      <c r="AO439" s="11"/>
    </row>
    <row r="440" spans="1:42" s="49" customFormat="1" ht="27.75" customHeight="1" x14ac:dyDescent="0.25">
      <c r="A440" s="43" t="s">
        <v>19</v>
      </c>
      <c r="B440" s="43" t="s">
        <v>19</v>
      </c>
      <c r="C440" s="43" t="s">
        <v>19</v>
      </c>
      <c r="D440" s="44">
        <v>12151</v>
      </c>
      <c r="E440" s="45" t="str">
        <f>VLOOKUP(D440,[49]INST!$A$1:$B$626,2,FALSE)</f>
        <v>SERVICES INTERNES</v>
      </c>
      <c r="F440" s="46" t="e">
        <f>SUMIF($B$441:$B$484,"section",F441:F484)</f>
        <v>#VALUE!</v>
      </c>
      <c r="G440" s="46" t="e">
        <f>SUMIF($B$441:$B$484,"section",G441:G484)</f>
        <v>#VALUE!</v>
      </c>
      <c r="H440" s="46">
        <f>SUMIF($B$441:$B$484,"section",H441:H484)</f>
        <v>2005503706.8610001</v>
      </c>
      <c r="I440" s="46">
        <v>1985503706.8000002</v>
      </c>
      <c r="J440" s="46">
        <f>SUMIF($B$441:$B$484,"section",J441:J484)</f>
        <v>1920239991.97</v>
      </c>
      <c r="K440" s="46">
        <f>SUMIF($B$441:$B$484,"section",K441:K484)</f>
        <v>85263714.890999928</v>
      </c>
      <c r="L440" s="47">
        <f t="shared" si="244"/>
        <v>0.95748513722547335</v>
      </c>
      <c r="M440" s="46"/>
      <c r="N440" s="46"/>
      <c r="O440" s="48"/>
      <c r="AO440" s="11"/>
    </row>
    <row r="441" spans="1:42" s="1" customFormat="1" ht="27.75" customHeight="1" thickBot="1" x14ac:dyDescent="0.3">
      <c r="A441" s="50" t="s">
        <v>20</v>
      </c>
      <c r="B441" s="50" t="s">
        <v>20</v>
      </c>
      <c r="C441" s="50" t="s">
        <v>20</v>
      </c>
      <c r="D441" s="51">
        <v>1215111</v>
      </c>
      <c r="E441" s="67" t="s">
        <v>78</v>
      </c>
      <c r="F441" s="68" t="e">
        <f>SUMIF($B$442:$B$448,"article",F442:F448)</f>
        <v>#VALUE!</v>
      </c>
      <c r="G441" s="68" t="e">
        <f>SUMIF($B$442:$B$448,"article",G442:G448)</f>
        <v>#VALUE!</v>
      </c>
      <c r="H441" s="68">
        <f>SUMIF($B$442:$B$448,"article",H442:H448)</f>
        <v>627001560.75999999</v>
      </c>
      <c r="I441" s="68">
        <v>462833153.69999999</v>
      </c>
      <c r="J441" s="68">
        <f>SUMIF($B$442:$B$448,"article",J442:J448)</f>
        <v>443010129.25</v>
      </c>
      <c r="K441" s="68">
        <f>SUMIF($B$442:$B$448,"article",K442:K448)</f>
        <v>183991431.50999996</v>
      </c>
      <c r="L441" s="69">
        <f t="shared" si="244"/>
        <v>0.70655347127528578</v>
      </c>
      <c r="M441" s="68"/>
      <c r="N441" s="68"/>
      <c r="O441" s="9"/>
      <c r="Q441" s="23"/>
      <c r="AK441" s="70"/>
      <c r="AL441" s="70"/>
      <c r="AM441" s="70"/>
      <c r="AN441" s="70"/>
      <c r="AO441" s="11">
        <v>1215111</v>
      </c>
    </row>
    <row r="442" spans="1:42" s="62" customFormat="1" ht="27.75" customHeight="1" thickTop="1" thickBot="1" x14ac:dyDescent="0.3">
      <c r="A442" s="56" t="s">
        <v>22</v>
      </c>
      <c r="B442" s="56" t="s">
        <v>22</v>
      </c>
      <c r="C442" s="57">
        <f t="shared" ref="C442:C448" si="245">IF(A441="SECTION",D441,C441)</f>
        <v>1215111</v>
      </c>
      <c r="D442" s="58">
        <v>1</v>
      </c>
      <c r="E442" s="59" t="str">
        <f t="shared" ref="E442:E448" si="246">IF(D442=1, "DEPENSES DE PERSONNEL",  +IF(D442=2,"DEPENSES DE SERVICES ET CHARGES DIVERSES", +IF(D442=3,"ACHATS DE BIENS DE CONSOMMATION ET PETITS MATERIELS",+IF(D442=4,"IMMOBILISATION CORPORELLE",+IF(D442=5,"IMMOBILISATION INCORPORELLE",+IF(D442=7,"SUBVENTIONS,QUOTES-PARTS ET CONTRIB.,ALLOC, INDEMNISATIONS",+IF(D442=8,"AMORTISSEMENT DE LA DETTE",+IF(D442=9,"AUTRES DEPENSES PUBLIQUES",0))))))))</f>
        <v>DEPENSES DE PERSONNEL</v>
      </c>
      <c r="F442" s="60" t="e">
        <f>SUMIFS([49]mensuel_section_article1!$E$3:$E$962,[49]mensuel_section_article1!$B$3:$B$962,C442,[49]mensuel_section_article1!$C$3:$C$962,D442)</f>
        <v>#VALUE!</v>
      </c>
      <c r="G442" s="60" t="e">
        <f>SUMIFS([49]mensuel_section_article1!$G$3:$G$962,[49]mensuel_section_article1!$B$3:$B$962,C442,[49]mensuel_section_article1!$C$3:$C$962,D442)</f>
        <v>#VALUE!</v>
      </c>
      <c r="H442" s="60">
        <v>323518263.29999995</v>
      </c>
      <c r="I442" s="60">
        <v>164147944.30000001</v>
      </c>
      <c r="J442" s="60">
        <v>155680560.18000001</v>
      </c>
      <c r="K442" s="60">
        <f t="shared" ref="K442:K448" si="247">+H442-J442</f>
        <v>167837703.11999995</v>
      </c>
      <c r="L442" s="61">
        <f t="shared" si="244"/>
        <v>0.48121104073693893</v>
      </c>
      <c r="M442" s="60"/>
      <c r="N442" s="24"/>
      <c r="O442" s="9"/>
      <c r="Q442" s="63"/>
      <c r="AK442" s="64"/>
      <c r="AL442" s="64"/>
      <c r="AM442" s="64"/>
      <c r="AN442" s="64"/>
      <c r="AO442" s="11">
        <v>1215111</v>
      </c>
      <c r="AP442" s="65" t="str">
        <f t="shared" ref="AP442:AP448" si="248">CONCATENATE(AO442,D442)</f>
        <v>12151111</v>
      </c>
    </row>
    <row r="443" spans="1:42" s="62" customFormat="1" ht="27.75" customHeight="1" thickTop="1" thickBot="1" x14ac:dyDescent="0.3">
      <c r="A443" s="56" t="s">
        <v>22</v>
      </c>
      <c r="B443" s="56" t="s">
        <v>22</v>
      </c>
      <c r="C443" s="57">
        <f t="shared" si="245"/>
        <v>1215111</v>
      </c>
      <c r="D443" s="58">
        <v>2</v>
      </c>
      <c r="E443" s="59" t="str">
        <f t="shared" si="246"/>
        <v>DEPENSES DE SERVICES ET CHARGES DIVERSES</v>
      </c>
      <c r="F443" s="60" t="e">
        <f>SUMIFS([49]mensuel_section_article1!$E$3:$E$962,[49]mensuel_section_article1!$B$3:$B$962,C443,[49]mensuel_section_article1!$C$3:$C$962,D443)</f>
        <v>#VALUE!</v>
      </c>
      <c r="G443" s="60" t="e">
        <f>SUMIFS([49]mensuel_section_article1!$G$3:$G$962,[49]mensuel_section_article1!$B$3:$B$962,C443,[49]mensuel_section_article1!$C$3:$C$962,D443)</f>
        <v>#VALUE!</v>
      </c>
      <c r="H443" s="60">
        <v>20962835.699999988</v>
      </c>
      <c r="I443" s="60">
        <v>15414910.700000001</v>
      </c>
      <c r="J443" s="60">
        <v>10185729.23</v>
      </c>
      <c r="K443" s="60">
        <f t="shared" si="247"/>
        <v>10777106.469999988</v>
      </c>
      <c r="L443" s="61">
        <f t="shared" si="244"/>
        <v>0.48589462684192131</v>
      </c>
      <c r="M443" s="60"/>
      <c r="N443" s="24"/>
      <c r="O443" s="9"/>
      <c r="Q443" s="63"/>
      <c r="AK443" s="64"/>
      <c r="AL443" s="64"/>
      <c r="AM443" s="64"/>
      <c r="AN443" s="64"/>
      <c r="AO443" s="11">
        <v>1215111</v>
      </c>
      <c r="AP443" s="65" t="str">
        <f t="shared" si="248"/>
        <v>12151112</v>
      </c>
    </row>
    <row r="444" spans="1:42" s="62" customFormat="1" ht="27.75" customHeight="1" thickTop="1" thickBot="1" x14ac:dyDescent="0.3">
      <c r="A444" s="56" t="s">
        <v>22</v>
      </c>
      <c r="B444" s="56" t="s">
        <v>22</v>
      </c>
      <c r="C444" s="57">
        <f t="shared" si="245"/>
        <v>1215111</v>
      </c>
      <c r="D444" s="58">
        <v>3</v>
      </c>
      <c r="E444" s="59" t="str">
        <f t="shared" si="246"/>
        <v>ACHATS DE BIENS DE CONSOMMATION ET PETITS MATERIELS</v>
      </c>
      <c r="F444" s="60" t="e">
        <f>SUMIFS([49]mensuel_section_article1!$E$3:$E$962,[49]mensuel_section_article1!$B$3:$B$962,C444,[49]mensuel_section_article1!$C$3:$C$962,D444)</f>
        <v>#VALUE!</v>
      </c>
      <c r="G444" s="60" t="e">
        <f>SUMIFS([49]mensuel_section_article1!$G$3:$G$962,[49]mensuel_section_article1!$B$3:$B$962,C444,[49]mensuel_section_article1!$C$3:$C$962,D444)</f>
        <v>#VALUE!</v>
      </c>
      <c r="H444" s="60">
        <v>33229241.519999996</v>
      </c>
      <c r="I444" s="60">
        <v>18654241.5</v>
      </c>
      <c r="J444" s="60">
        <v>15245882.5</v>
      </c>
      <c r="K444" s="60">
        <f t="shared" si="247"/>
        <v>17983359.019999996</v>
      </c>
      <c r="L444" s="61">
        <f t="shared" si="244"/>
        <v>0.45880922352151243</v>
      </c>
      <c r="M444" s="60"/>
      <c r="N444" s="24"/>
      <c r="O444" s="9"/>
      <c r="Q444" s="66"/>
      <c r="AK444" s="64"/>
      <c r="AL444" s="64"/>
      <c r="AM444" s="64"/>
      <c r="AN444" s="64"/>
      <c r="AO444" s="11">
        <v>1215111</v>
      </c>
      <c r="AP444" s="65" t="str">
        <f t="shared" si="248"/>
        <v>12151113</v>
      </c>
    </row>
    <row r="445" spans="1:42" s="62" customFormat="1" ht="27.75" customHeight="1" thickTop="1" thickBot="1" x14ac:dyDescent="0.3">
      <c r="A445" s="56" t="s">
        <v>22</v>
      </c>
      <c r="B445" s="56" t="s">
        <v>22</v>
      </c>
      <c r="C445" s="57">
        <f t="shared" si="245"/>
        <v>1215111</v>
      </c>
      <c r="D445" s="58">
        <v>4</v>
      </c>
      <c r="E445" s="59" t="str">
        <f t="shared" si="246"/>
        <v>IMMOBILISATION CORPORELLE</v>
      </c>
      <c r="F445" s="60" t="e">
        <f>SUMIFS([49]mensuel_section_article1!$E$3:$E$962,[49]mensuel_section_article1!$B$3:$B$962,C445,[49]mensuel_section_article1!$C$3:$C$962,D445)</f>
        <v>#VALUE!</v>
      </c>
      <c r="G445" s="60" t="e">
        <f>SUMIFS([49]mensuel_section_article1!$G$3:$G$962,[49]mensuel_section_article1!$B$3:$B$962,C445,[49]mensuel_section_article1!$C$3:$C$962,D445)</f>
        <v>#VALUE!</v>
      </c>
      <c r="H445" s="60">
        <v>9291220.2400000002</v>
      </c>
      <c r="I445" s="60">
        <v>6187220.2000000002</v>
      </c>
      <c r="J445" s="60">
        <v>3469127.34</v>
      </c>
      <c r="K445" s="60">
        <f t="shared" si="247"/>
        <v>5822092.9000000004</v>
      </c>
      <c r="L445" s="61">
        <f t="shared" si="244"/>
        <v>0.37337693547128742</v>
      </c>
      <c r="M445" s="60"/>
      <c r="N445" s="24"/>
      <c r="O445" s="9"/>
      <c r="Q445" s="63"/>
      <c r="AK445" s="64"/>
      <c r="AL445" s="64"/>
      <c r="AM445" s="64"/>
      <c r="AN445" s="64"/>
      <c r="AO445" s="11">
        <v>1215111</v>
      </c>
      <c r="AP445" s="65" t="str">
        <f t="shared" si="248"/>
        <v>12151114</v>
      </c>
    </row>
    <row r="446" spans="1:42" s="62" customFormat="1" ht="27.75" hidden="1" customHeight="1" thickTop="1" thickBot="1" x14ac:dyDescent="0.3">
      <c r="A446" s="56" t="s">
        <v>22</v>
      </c>
      <c r="B446" s="56" t="s">
        <v>22</v>
      </c>
      <c r="C446" s="57">
        <f t="shared" si="245"/>
        <v>1215111</v>
      </c>
      <c r="D446" s="96">
        <v>5</v>
      </c>
      <c r="E446" s="59" t="str">
        <f t="shared" si="246"/>
        <v>IMMOBILISATION INCORPORELLE</v>
      </c>
      <c r="F446" s="60" t="e">
        <f>SUMIFS([49]mensuel_section_article1!$E$3:$E$962,[49]mensuel_section_article1!$B$3:$B$962,C446,[49]mensuel_section_article1!$C$3:$C$962,D446)</f>
        <v>#VALUE!</v>
      </c>
      <c r="G446" s="60" t="e">
        <f>SUMIFS([49]mensuel_section_article1!$G$3:$G$962,[49]mensuel_section_article1!$B$3:$B$962,C446,[49]mensuel_section_article1!$C$3:$C$962,D446)</f>
        <v>#VALUE!</v>
      </c>
      <c r="H446" s="60">
        <v>0</v>
      </c>
      <c r="I446" s="60">
        <v>0</v>
      </c>
      <c r="J446" s="60">
        <v>0</v>
      </c>
      <c r="K446" s="60">
        <f t="shared" si="247"/>
        <v>0</v>
      </c>
      <c r="L446" s="61" t="e">
        <f>IF(F446&lt;&gt;0,K446/F446,0)</f>
        <v>#VALUE!</v>
      </c>
      <c r="M446" s="60" t="e">
        <f>+SUMIFS([51]section_article!$H$10:$H$936,[51]section_article!$C$10:$C$936,C446,[51]section_article!$D$10:$D$936,D446)</f>
        <v>#VALUE!</v>
      </c>
      <c r="N446" s="24" t="e">
        <f t="shared" ref="N442:N448" si="249">+J446-M446</f>
        <v>#VALUE!</v>
      </c>
      <c r="O446" s="9"/>
      <c r="Q446" s="63"/>
      <c r="AK446" s="97"/>
      <c r="AL446" s="97"/>
      <c r="AM446" s="97"/>
      <c r="AN446" s="97"/>
      <c r="AO446" s="11">
        <v>1215111</v>
      </c>
      <c r="AP446" s="65" t="str">
        <f t="shared" si="248"/>
        <v>12151115</v>
      </c>
    </row>
    <row r="447" spans="1:42" s="62" customFormat="1" ht="27.75" hidden="1" customHeight="1" thickTop="1" thickBot="1" x14ac:dyDescent="0.3">
      <c r="A447" s="56" t="s">
        <v>22</v>
      </c>
      <c r="B447" s="56" t="s">
        <v>22</v>
      </c>
      <c r="C447" s="57">
        <f t="shared" si="245"/>
        <v>1215111</v>
      </c>
      <c r="D447" s="96">
        <v>7</v>
      </c>
      <c r="E447" s="59" t="str">
        <f t="shared" si="246"/>
        <v>SUBVENTIONS,QUOTES-PARTS ET CONTRIB.,ALLOC, INDEMNISATIONS</v>
      </c>
      <c r="F447" s="60" t="e">
        <f>SUMIFS([49]mensuel_section_article1!$E$3:$E$962,[49]mensuel_section_article1!$B$3:$B$962,C447,[49]mensuel_section_article1!$C$3:$C$962,D447)</f>
        <v>#VALUE!</v>
      </c>
      <c r="G447" s="60" t="e">
        <f>SUMIFS([49]mensuel_section_article1!$G$3:$G$962,[49]mensuel_section_article1!$B$3:$B$962,C447,[49]mensuel_section_article1!$C$3:$C$962,D447)</f>
        <v>#VALUE!</v>
      </c>
      <c r="H447" s="60">
        <v>0</v>
      </c>
      <c r="I447" s="60">
        <v>0</v>
      </c>
      <c r="J447" s="60">
        <v>0</v>
      </c>
      <c r="K447" s="60">
        <f t="shared" si="247"/>
        <v>0</v>
      </c>
      <c r="L447" s="61" t="e">
        <f>IF(F447&lt;&gt;0,K447/F447,0)</f>
        <v>#VALUE!</v>
      </c>
      <c r="M447" s="60" t="e">
        <f>+SUMIFS([51]section_article!$H$10:$H$936,[51]section_article!$C$10:$C$936,C447,[51]section_article!$D$10:$D$936,D447)</f>
        <v>#VALUE!</v>
      </c>
      <c r="N447" s="24" t="e">
        <f t="shared" si="249"/>
        <v>#VALUE!</v>
      </c>
      <c r="O447" s="9"/>
      <c r="Q447" s="63"/>
      <c r="AK447" s="97"/>
      <c r="AL447" s="97"/>
      <c r="AM447" s="97"/>
      <c r="AN447" s="97"/>
      <c r="AO447" s="11">
        <v>1215111</v>
      </c>
      <c r="AP447" s="65" t="str">
        <f t="shared" si="248"/>
        <v>12151117</v>
      </c>
    </row>
    <row r="448" spans="1:42" s="62" customFormat="1" ht="27.75" customHeight="1" thickTop="1" thickBot="1" x14ac:dyDescent="0.3">
      <c r="A448" s="56" t="s">
        <v>22</v>
      </c>
      <c r="B448" s="56" t="s">
        <v>22</v>
      </c>
      <c r="C448" s="57">
        <f t="shared" si="245"/>
        <v>1215111</v>
      </c>
      <c r="D448" s="58">
        <v>9</v>
      </c>
      <c r="E448" s="59" t="str">
        <f t="shared" si="246"/>
        <v>AUTRES DEPENSES PUBLIQUES</v>
      </c>
      <c r="F448" s="60" t="e">
        <f>SUMIFS([49]mensuel_section_article1!$E$3:$E$962,[49]mensuel_section_article1!$B$3:$B$962,C448,[49]mensuel_section_article1!$C$3:$C$962,D448)</f>
        <v>#VALUE!</v>
      </c>
      <c r="G448" s="60" t="e">
        <f>SUMIFS([49]mensuel_section_article1!$G$3:$G$962,[49]mensuel_section_article1!$B$3:$B$962,C448,[49]mensuel_section_article1!$C$3:$C$962,D448)</f>
        <v>#VALUE!</v>
      </c>
      <c r="H448" s="60">
        <v>240000000</v>
      </c>
      <c r="I448" s="60">
        <v>258428837</v>
      </c>
      <c r="J448" s="60">
        <v>258428830</v>
      </c>
      <c r="K448" s="60">
        <f t="shared" si="247"/>
        <v>-18428830</v>
      </c>
      <c r="L448" s="61">
        <f t="shared" ref="L448:L453" si="250">+J448/H448</f>
        <v>1.0767867916666667</v>
      </c>
      <c r="M448" s="60"/>
      <c r="N448" s="24"/>
      <c r="O448" s="9"/>
      <c r="Q448" s="63"/>
      <c r="AK448" s="64"/>
      <c r="AL448" s="64"/>
      <c r="AM448" s="64"/>
      <c r="AN448" s="64"/>
      <c r="AO448" s="11">
        <v>1215111</v>
      </c>
      <c r="AP448" s="65" t="str">
        <f t="shared" si="248"/>
        <v>12151119</v>
      </c>
    </row>
    <row r="449" spans="1:42" s="1" customFormat="1" ht="27.75" customHeight="1" thickTop="1" thickBot="1" x14ac:dyDescent="0.3">
      <c r="A449" s="98" t="s">
        <v>20</v>
      </c>
      <c r="B449" s="98" t="s">
        <v>20</v>
      </c>
      <c r="C449" s="98" t="s">
        <v>20</v>
      </c>
      <c r="D449" s="51">
        <v>1215112</v>
      </c>
      <c r="E449" s="67" t="s">
        <v>79</v>
      </c>
      <c r="F449" s="68" t="e">
        <f>SUMIF($B$450:$B$456,"article",F450:F456)</f>
        <v>#VALUE!</v>
      </c>
      <c r="G449" s="68" t="e">
        <f>SUMIF($B$450:$B$456,"article",G450:G456)</f>
        <v>#VALUE!</v>
      </c>
      <c r="H449" s="68">
        <f>SUMIF($B$450:$B$456,"article",H450:H456)</f>
        <v>958954869.16100001</v>
      </c>
      <c r="I449" s="68">
        <v>1095423276.2</v>
      </c>
      <c r="J449" s="68">
        <f>SUMIF($B$450:$B$456,"article",J450:J456)</f>
        <v>1053318112.05</v>
      </c>
      <c r="K449" s="68">
        <f>SUMIF($B$450:$B$456,"article",K450:K456)</f>
        <v>-94363242.888999999</v>
      </c>
      <c r="L449" s="69">
        <f t="shared" si="250"/>
        <v>1.0984021729526847</v>
      </c>
      <c r="M449" s="68"/>
      <c r="N449" s="68"/>
      <c r="O449" s="9"/>
      <c r="Q449" s="23"/>
      <c r="AK449" s="70"/>
      <c r="AL449" s="70"/>
      <c r="AM449" s="70"/>
      <c r="AN449" s="70"/>
      <c r="AO449" s="11">
        <v>1215112</v>
      </c>
    </row>
    <row r="450" spans="1:42" s="62" customFormat="1" ht="27.75" customHeight="1" thickTop="1" thickBot="1" x14ac:dyDescent="0.3">
      <c r="A450" s="56" t="s">
        <v>22</v>
      </c>
      <c r="B450" s="56" t="s">
        <v>22</v>
      </c>
      <c r="C450" s="57">
        <f t="shared" ref="C450:C456" si="251">IF(A449="SECTION",D449,C449)</f>
        <v>1215112</v>
      </c>
      <c r="D450" s="58">
        <v>1</v>
      </c>
      <c r="E450" s="59" t="str">
        <f t="shared" ref="E450:E456" si="252">IF(D450=1, "DEPENSES DE PERSONNEL",  +IF(D450=2,"DEPENSES DE SERVICES ET CHARGES DIVERSES", +IF(D450=3,"ACHATS DE BIENS DE CONSOMMATION ET PETITS MATERIELS",+IF(D450=4,"IMMOBILISATION CORPORELLE",+IF(D450=5,"IMMOBILISATION INCORPORELLE",+IF(D450=7,"SUBVENTIONS,QUOTES-PARTS ET CONTRIB.,ALLOC, INDEMNISATIONS",+IF(D450=8,"AMORTISSEMENT DE LA DETTE",+IF(D450=9,"AUTRES DEPENSES PUBLIQUES",0))))))))</f>
        <v>DEPENSES DE PERSONNEL</v>
      </c>
      <c r="F450" s="60" t="e">
        <f>SUMIFS([49]mensuel_section_article1!$E$3:$E$962,[49]mensuel_section_article1!$B$3:$B$962,C450,[49]mensuel_section_article1!$C$3:$C$962,D450)</f>
        <v>#VALUE!</v>
      </c>
      <c r="G450" s="60" t="e">
        <f>SUMIFS([49]mensuel_section_article1!$G$3:$G$962,[49]mensuel_section_article1!$B$3:$B$962,C450,[49]mensuel_section_article1!$C$3:$C$962,D450)</f>
        <v>#VALUE!</v>
      </c>
      <c r="H450" s="60">
        <v>145086209.63999999</v>
      </c>
      <c r="I450" s="60">
        <v>284456528.59999996</v>
      </c>
      <c r="J450" s="60">
        <v>276560332.48000002</v>
      </c>
      <c r="K450" s="60">
        <f t="shared" ref="K450:K456" si="253">+H450-J450</f>
        <v>-131474122.84000003</v>
      </c>
      <c r="L450" s="61">
        <f t="shared" si="250"/>
        <v>1.9061793203242721</v>
      </c>
      <c r="M450" s="60"/>
      <c r="N450" s="24"/>
      <c r="O450" s="9"/>
      <c r="Q450" s="63"/>
      <c r="AK450" s="64"/>
      <c r="AL450" s="64"/>
      <c r="AM450" s="64"/>
      <c r="AN450" s="64"/>
      <c r="AO450" s="11">
        <v>1215112</v>
      </c>
      <c r="AP450" s="65" t="str">
        <f t="shared" ref="AP450:AP456" si="254">CONCATENATE(AO450,D450)</f>
        <v>12151121</v>
      </c>
    </row>
    <row r="451" spans="1:42" s="62" customFormat="1" ht="27.75" customHeight="1" thickTop="1" thickBot="1" x14ac:dyDescent="0.3">
      <c r="A451" s="56" t="s">
        <v>22</v>
      </c>
      <c r="B451" s="56" t="s">
        <v>22</v>
      </c>
      <c r="C451" s="57">
        <f t="shared" si="251"/>
        <v>1215112</v>
      </c>
      <c r="D451" s="58">
        <v>2</v>
      </c>
      <c r="E451" s="59" t="str">
        <f t="shared" si="252"/>
        <v>DEPENSES DE SERVICES ET CHARGES DIVERSES</v>
      </c>
      <c r="F451" s="60" t="e">
        <f>SUMIFS([49]mensuel_section_article1!$E$3:$E$962,[49]mensuel_section_article1!$B$3:$B$962,C451,[49]mensuel_section_article1!$C$3:$C$962,D451)</f>
        <v>#VALUE!</v>
      </c>
      <c r="G451" s="60" t="e">
        <f>SUMIFS([49]mensuel_section_article1!$G$3:$G$962,[49]mensuel_section_article1!$B$3:$B$962,C451,[49]mensuel_section_article1!$C$3:$C$962,D451)</f>
        <v>#VALUE!</v>
      </c>
      <c r="H451" s="60">
        <v>166482173.34500003</v>
      </c>
      <c r="I451" s="60">
        <v>154100699.40000001</v>
      </c>
      <c r="J451" s="60">
        <v>131710894.97</v>
      </c>
      <c r="K451" s="60">
        <f t="shared" si="253"/>
        <v>34771278.37500003</v>
      </c>
      <c r="L451" s="61">
        <f t="shared" si="250"/>
        <v>0.79114113135138076</v>
      </c>
      <c r="M451" s="60"/>
      <c r="N451" s="24"/>
      <c r="O451" s="9"/>
      <c r="Q451" s="66"/>
      <c r="AK451" s="64"/>
      <c r="AL451" s="64"/>
      <c r="AM451" s="64"/>
      <c r="AN451" s="64"/>
      <c r="AO451" s="11">
        <v>1215112</v>
      </c>
      <c r="AP451" s="65" t="str">
        <f t="shared" si="254"/>
        <v>12151122</v>
      </c>
    </row>
    <row r="452" spans="1:42" s="62" customFormat="1" ht="27.75" customHeight="1" thickTop="1" thickBot="1" x14ac:dyDescent="0.3">
      <c r="A452" s="56" t="s">
        <v>22</v>
      </c>
      <c r="B452" s="56" t="s">
        <v>22</v>
      </c>
      <c r="C452" s="57">
        <f t="shared" si="251"/>
        <v>1215112</v>
      </c>
      <c r="D452" s="58">
        <v>3</v>
      </c>
      <c r="E452" s="59" t="str">
        <f t="shared" si="252"/>
        <v>ACHATS DE BIENS DE CONSOMMATION ET PETITS MATERIELS</v>
      </c>
      <c r="F452" s="60" t="e">
        <f>SUMIFS([49]mensuel_section_article1!$E$3:$E$962,[49]mensuel_section_article1!$B$3:$B$962,C452,[49]mensuel_section_article1!$C$3:$C$962,D452)</f>
        <v>#VALUE!</v>
      </c>
      <c r="G452" s="60" t="e">
        <f>SUMIFS([49]mensuel_section_article1!$G$3:$G$962,[49]mensuel_section_article1!$B$3:$B$962,C452,[49]mensuel_section_article1!$C$3:$C$962,D452)</f>
        <v>#VALUE!</v>
      </c>
      <c r="H452" s="60">
        <v>57505388.526000001</v>
      </c>
      <c r="I452" s="60">
        <v>90009787.5</v>
      </c>
      <c r="J452" s="60">
        <v>82777133.439999998</v>
      </c>
      <c r="K452" s="60">
        <f t="shared" si="253"/>
        <v>-25271744.913999997</v>
      </c>
      <c r="L452" s="61">
        <f t="shared" si="250"/>
        <v>1.4394674231715492</v>
      </c>
      <c r="M452" s="60"/>
      <c r="N452" s="24"/>
      <c r="O452" s="9"/>
      <c r="Q452" s="63"/>
      <c r="AK452" s="64"/>
      <c r="AL452" s="64"/>
      <c r="AM452" s="64"/>
      <c r="AN452" s="64"/>
      <c r="AO452" s="11">
        <v>1215112</v>
      </c>
      <c r="AP452" s="65" t="str">
        <f t="shared" si="254"/>
        <v>12151123</v>
      </c>
    </row>
    <row r="453" spans="1:42" s="62" customFormat="1" ht="27.75" customHeight="1" thickTop="1" thickBot="1" x14ac:dyDescent="0.3">
      <c r="A453" s="56" t="s">
        <v>22</v>
      </c>
      <c r="B453" s="56" t="s">
        <v>22</v>
      </c>
      <c r="C453" s="57">
        <f t="shared" si="251"/>
        <v>1215112</v>
      </c>
      <c r="D453" s="58">
        <v>4</v>
      </c>
      <c r="E453" s="59" t="str">
        <f t="shared" si="252"/>
        <v>IMMOBILISATION CORPORELLE</v>
      </c>
      <c r="F453" s="60" t="e">
        <f>SUMIFS([49]mensuel_section_article1!$E$3:$E$962,[49]mensuel_section_article1!$B$3:$B$962,C453,[49]mensuel_section_article1!$C$3:$C$962,D453)</f>
        <v>#VALUE!</v>
      </c>
      <c r="G453" s="60" t="e">
        <f>SUMIFS([49]mensuel_section_article1!$G$3:$G$962,[49]mensuel_section_article1!$B$3:$B$962,C453,[49]mensuel_section_article1!$C$3:$C$962,D453)</f>
        <v>#VALUE!</v>
      </c>
      <c r="H453" s="60">
        <v>26908991.677000001</v>
      </c>
      <c r="I453" s="60">
        <v>44662991.699999996</v>
      </c>
      <c r="J453" s="60">
        <v>40858071.079999998</v>
      </c>
      <c r="K453" s="60">
        <f t="shared" si="253"/>
        <v>-13949079.402999997</v>
      </c>
      <c r="L453" s="61">
        <f t="shared" si="250"/>
        <v>1.5183798624057228</v>
      </c>
      <c r="M453" s="60"/>
      <c r="N453" s="24"/>
      <c r="O453" s="9"/>
      <c r="Q453" s="63"/>
      <c r="AK453" s="64"/>
      <c r="AL453" s="64"/>
      <c r="AM453" s="64"/>
      <c r="AN453" s="64"/>
      <c r="AO453" s="11">
        <v>1215112</v>
      </c>
      <c r="AP453" s="65" t="str">
        <f t="shared" si="254"/>
        <v>12151124</v>
      </c>
    </row>
    <row r="454" spans="1:42" s="62" customFormat="1" ht="27.75" hidden="1" customHeight="1" thickTop="1" thickBot="1" x14ac:dyDescent="0.3">
      <c r="A454" s="56" t="s">
        <v>22</v>
      </c>
      <c r="B454" s="56" t="s">
        <v>22</v>
      </c>
      <c r="C454" s="57">
        <f t="shared" si="251"/>
        <v>1215112</v>
      </c>
      <c r="D454" s="96">
        <v>5</v>
      </c>
      <c r="E454" s="59" t="str">
        <f t="shared" si="252"/>
        <v>IMMOBILISATION INCORPORELLE</v>
      </c>
      <c r="F454" s="60" t="e">
        <f>SUMIFS([49]mensuel_section_article1!$E$3:$E$962,[49]mensuel_section_article1!$B$3:$B$962,C454,[49]mensuel_section_article1!$C$3:$C$962,D454)</f>
        <v>#VALUE!</v>
      </c>
      <c r="G454" s="60" t="e">
        <f>SUMIFS([49]mensuel_section_article1!$G$3:$G$962,[49]mensuel_section_article1!$B$3:$B$962,C454,[49]mensuel_section_article1!$C$3:$C$962,D454)</f>
        <v>#VALUE!</v>
      </c>
      <c r="H454" s="60">
        <v>0</v>
      </c>
      <c r="I454" s="60">
        <v>50000</v>
      </c>
      <c r="J454" s="60">
        <v>12617</v>
      </c>
      <c r="K454" s="60">
        <f t="shared" si="253"/>
        <v>-12617</v>
      </c>
      <c r="L454" s="61" t="e">
        <f>IF(F454&lt;&gt;0,K454/F454,0)</f>
        <v>#VALUE!</v>
      </c>
      <c r="M454" s="60" t="e">
        <f>+SUMIFS([51]section_article!$H$10:$H$936,[51]section_article!$C$10:$C$936,C454,[51]section_article!$D$10:$D$936,D454)</f>
        <v>#VALUE!</v>
      </c>
      <c r="N454" s="24" t="e">
        <f t="shared" ref="N450:N456" si="255">+J454-M454</f>
        <v>#VALUE!</v>
      </c>
      <c r="O454" s="9"/>
      <c r="Q454" s="63"/>
      <c r="AK454" s="97"/>
      <c r="AL454" s="97"/>
      <c r="AM454" s="97"/>
      <c r="AN454" s="97"/>
      <c r="AO454" s="11">
        <v>1215112</v>
      </c>
      <c r="AP454" s="65" t="str">
        <f t="shared" si="254"/>
        <v>12151125</v>
      </c>
    </row>
    <row r="455" spans="1:42" s="62" customFormat="1" ht="27.75" customHeight="1" thickTop="1" thickBot="1" x14ac:dyDescent="0.3">
      <c r="A455" s="56" t="s">
        <v>22</v>
      </c>
      <c r="B455" s="56" t="s">
        <v>22</v>
      </c>
      <c r="C455" s="57">
        <f t="shared" si="251"/>
        <v>1215112</v>
      </c>
      <c r="D455" s="58">
        <v>7</v>
      </c>
      <c r="E455" s="59" t="str">
        <f t="shared" si="252"/>
        <v>SUBVENTIONS,QUOTES-PARTS ET CONTRIB.,ALLOC, INDEMNISATIONS</v>
      </c>
      <c r="F455" s="60" t="e">
        <f>SUMIFS([49]mensuel_section_article1!$E$3:$E$962,[49]mensuel_section_article1!$B$3:$B$962,C455,[49]mensuel_section_article1!$C$3:$C$962,D455)</f>
        <v>#VALUE!</v>
      </c>
      <c r="G455" s="60" t="e">
        <f>SUMIFS([49]mensuel_section_article1!$G$3:$G$962,[49]mensuel_section_article1!$B$3:$B$962,C455,[49]mensuel_section_article1!$C$3:$C$962,D455)</f>
        <v>#VALUE!</v>
      </c>
      <c r="H455" s="60">
        <v>50416631.866999999</v>
      </c>
      <c r="I455" s="60">
        <v>59716631.899999999</v>
      </c>
      <c r="J455" s="60">
        <v>59527150</v>
      </c>
      <c r="K455" s="60">
        <f t="shared" si="253"/>
        <v>-9110518.1330000013</v>
      </c>
      <c r="L455" s="61">
        <f t="shared" ref="L455:L461" si="256">+J455/H455</f>
        <v>1.1807046166240085</v>
      </c>
      <c r="M455" s="60"/>
      <c r="N455" s="24"/>
      <c r="O455" s="9"/>
      <c r="Q455" s="66"/>
      <c r="AK455" s="64"/>
      <c r="AL455" s="64"/>
      <c r="AM455" s="64"/>
      <c r="AN455" s="64"/>
      <c r="AO455" s="11">
        <v>1215112</v>
      </c>
      <c r="AP455" s="65" t="str">
        <f t="shared" si="254"/>
        <v>12151127</v>
      </c>
    </row>
    <row r="456" spans="1:42" s="62" customFormat="1" ht="27.75" customHeight="1" thickTop="1" thickBot="1" x14ac:dyDescent="0.3">
      <c r="A456" s="56" t="s">
        <v>22</v>
      </c>
      <c r="B456" s="56" t="s">
        <v>22</v>
      </c>
      <c r="C456" s="57">
        <f t="shared" si="251"/>
        <v>1215112</v>
      </c>
      <c r="D456" s="58">
        <v>9</v>
      </c>
      <c r="E456" s="59" t="str">
        <f t="shared" si="252"/>
        <v>AUTRES DEPENSES PUBLIQUES</v>
      </c>
      <c r="F456" s="60" t="e">
        <f>SUMIFS([49]mensuel_section_article1!$E$3:$E$962,[49]mensuel_section_article1!$B$3:$B$962,C456,[49]mensuel_section_article1!$C$3:$C$962,D456)</f>
        <v>#VALUE!</v>
      </c>
      <c r="G456" s="60" t="e">
        <f>SUMIFS([49]mensuel_section_article1!$G$3:$G$962,[49]mensuel_section_article1!$B$3:$B$962,C456,[49]mensuel_section_article1!$C$3:$C$962,D456)</f>
        <v>#VALUE!</v>
      </c>
      <c r="H456" s="60">
        <v>512555474.10600001</v>
      </c>
      <c r="I456" s="60">
        <v>462426637.10000002</v>
      </c>
      <c r="J456" s="60">
        <v>461871913.07999998</v>
      </c>
      <c r="K456" s="60">
        <f t="shared" si="253"/>
        <v>50683561.026000023</v>
      </c>
      <c r="L456" s="61">
        <f t="shared" si="256"/>
        <v>0.90111595020148338</v>
      </c>
      <c r="M456" s="60"/>
      <c r="N456" s="24"/>
      <c r="O456" s="9"/>
      <c r="Q456" s="63"/>
      <c r="AK456" s="64"/>
      <c r="AL456" s="64"/>
      <c r="AM456" s="64"/>
      <c r="AN456" s="64"/>
      <c r="AO456" s="11">
        <v>1215112</v>
      </c>
      <c r="AP456" s="65" t="str">
        <f t="shared" si="254"/>
        <v>12151129</v>
      </c>
    </row>
    <row r="457" spans="1:42" s="1" customFormat="1" ht="27.75" customHeight="1" thickTop="1" thickBot="1" x14ac:dyDescent="0.3">
      <c r="A457" s="50" t="s">
        <v>20</v>
      </c>
      <c r="B457" s="50" t="s">
        <v>20</v>
      </c>
      <c r="C457" s="50" t="s">
        <v>20</v>
      </c>
      <c r="D457" s="51">
        <v>1215113</v>
      </c>
      <c r="E457" s="67" t="s">
        <v>80</v>
      </c>
      <c r="F457" s="68" t="e">
        <f>SUMIF($B$438:$B$438,"article",F458:F458)</f>
        <v>#VALUE!</v>
      </c>
      <c r="G457" s="68" t="e">
        <f>SUMIF($B$438:$B$438,"article",G458:G458)</f>
        <v>#VALUE!</v>
      </c>
      <c r="H457" s="68">
        <f>SUMIF($B$438:$B$438,"article",H458:H458)</f>
        <v>52028538.881999999</v>
      </c>
      <c r="I457" s="68">
        <v>69028538.900000006</v>
      </c>
      <c r="J457" s="68">
        <f>SUMIF($B$438:$B$438,"article",J458:J458)</f>
        <v>69028532</v>
      </c>
      <c r="K457" s="68">
        <f>SUMIF($B$438:$B$438,"article",K458:K458)</f>
        <v>-16999993.118000001</v>
      </c>
      <c r="L457" s="69">
        <f t="shared" si="256"/>
        <v>1.3267436196229871</v>
      </c>
      <c r="M457" s="68"/>
      <c r="N457" s="68"/>
      <c r="O457" s="9"/>
      <c r="Q457" s="23"/>
      <c r="AK457" s="70"/>
      <c r="AL457" s="70"/>
      <c r="AM457" s="70"/>
      <c r="AN457" s="70"/>
      <c r="AO457" s="11">
        <v>1215113</v>
      </c>
    </row>
    <row r="458" spans="1:42" s="62" customFormat="1" ht="27.75" customHeight="1" thickTop="1" thickBot="1" x14ac:dyDescent="0.3">
      <c r="A458" s="56" t="s">
        <v>22</v>
      </c>
      <c r="B458" s="56" t="s">
        <v>22</v>
      </c>
      <c r="C458" s="57">
        <f>IF(A457="SECTION",D457,C457)</f>
        <v>1215113</v>
      </c>
      <c r="D458" s="58">
        <v>9</v>
      </c>
      <c r="E458" s="59" t="str">
        <f>IF(D458=1, "DEPENSES DE PERSONNEL",  +IF(D458=2,"DEPENSES DE SERVICES ET CHARGES DIVERSES", +IF(D458=3,"ACHATS DE BIENS DE CONSOMMATION ET PETITS MATERIELS",+IF(D458=4,"IMMOBILISATION CORPORELLE",+IF(D458=5,"IMMOBILISATION INCORPORELLE",+IF(D458=7,"SUBVENTIONS,QUOTES-PARTS ET CONTRIB.,ALLOC, INDEMNISATIONS",+IF(D458=8,"AMORTISSEMENT DE LA DETTE",+IF(D458=9,"AUTRES DEPENSES PUBLIQUES",0))))))))</f>
        <v>AUTRES DEPENSES PUBLIQUES</v>
      </c>
      <c r="F458" s="60" t="e">
        <f>SUMIFS([49]mensuel_section_article1!$E$3:$E$962,[49]mensuel_section_article1!$B$3:$B$962,C458,[49]mensuel_section_article1!$C$3:$C$962,D458)</f>
        <v>#VALUE!</v>
      </c>
      <c r="G458" s="60" t="e">
        <f>SUMIFS([49]mensuel_section_article1!$G$3:$G$962,[49]mensuel_section_article1!$B$3:$B$962,C458,[49]mensuel_section_article1!$C$3:$C$962,D458)</f>
        <v>#VALUE!</v>
      </c>
      <c r="H458" s="60">
        <v>52028538.881999999</v>
      </c>
      <c r="I458" s="60">
        <v>69028538.900000006</v>
      </c>
      <c r="J458" s="60">
        <v>69028532</v>
      </c>
      <c r="K458" s="60">
        <f>+H458-J458</f>
        <v>-16999993.118000001</v>
      </c>
      <c r="L458" s="61">
        <f t="shared" si="256"/>
        <v>1.3267436196229871</v>
      </c>
      <c r="M458" s="60"/>
      <c r="N458" s="24"/>
      <c r="O458" s="9"/>
      <c r="Q458" s="63"/>
      <c r="AK458" s="64"/>
      <c r="AL458" s="64"/>
      <c r="AM458" s="64"/>
      <c r="AN458" s="64"/>
      <c r="AO458" s="11">
        <v>1215113</v>
      </c>
      <c r="AP458" s="65" t="str">
        <f>CONCATENATE(AO458,D458)</f>
        <v>12151139</v>
      </c>
    </row>
    <row r="459" spans="1:42" s="1" customFormat="1" ht="27.75" customHeight="1" thickTop="1" thickBot="1" x14ac:dyDescent="0.3">
      <c r="A459" s="50" t="s">
        <v>20</v>
      </c>
      <c r="B459" s="50" t="s">
        <v>20</v>
      </c>
      <c r="C459" s="50" t="s">
        <v>20</v>
      </c>
      <c r="D459" s="51">
        <v>1215116</v>
      </c>
      <c r="E459" s="67" t="s">
        <v>81</v>
      </c>
      <c r="F459" s="68" t="e">
        <f>SUMIF($B$460:$B$462,"article",F460:F462)</f>
        <v>#VALUE!</v>
      </c>
      <c r="G459" s="68" t="e">
        <f>SUMIF($B$460:$B$462,"article",G460:G462)</f>
        <v>#VALUE!</v>
      </c>
      <c r="H459" s="68">
        <f>SUMIF($B$460:$B$462,"article",H460:H462)</f>
        <v>44000000.459999993</v>
      </c>
      <c r="I459" s="68">
        <v>44000000.5</v>
      </c>
      <c r="J459" s="68">
        <f>SUMIF($B$460:$B$462,"article",J460:J462)</f>
        <v>43965095.969999999</v>
      </c>
      <c r="K459" s="68">
        <f>SUMIF($B$460:$B$462,"article",K460:K462)</f>
        <v>34904.489999996498</v>
      </c>
      <c r="L459" s="69">
        <f t="shared" si="256"/>
        <v>0.99920671614465717</v>
      </c>
      <c r="M459" s="68"/>
      <c r="N459" s="68"/>
      <c r="O459" s="9"/>
      <c r="Q459" s="23"/>
      <c r="AK459" s="70"/>
      <c r="AL459" s="70"/>
      <c r="AM459" s="70"/>
      <c r="AN459" s="70"/>
      <c r="AO459" s="11">
        <v>1215116</v>
      </c>
    </row>
    <row r="460" spans="1:42" s="62" customFormat="1" ht="27.75" customHeight="1" thickTop="1" thickBot="1" x14ac:dyDescent="0.3">
      <c r="A460" s="56" t="s">
        <v>22</v>
      </c>
      <c r="B460" s="56" t="s">
        <v>22</v>
      </c>
      <c r="C460" s="57">
        <f>IF(A459="SECTION",D459,C459)</f>
        <v>1215116</v>
      </c>
      <c r="D460" s="58">
        <v>1</v>
      </c>
      <c r="E460" s="59" t="str">
        <f>IF(D460=1, "DEPENSES DE PERSONNEL",  +IF(D460=2,"DEPENSES DE SERVICES ET CHARGES DIVERSES", +IF(D460=3,"ACHATS DE BIENS DE CONSOMMATION ET PETITS MATERIELS",+IF(D460=4,"IMMOBILISATION CORPORELLE",+IF(D460=5,"IMMOBILISATION INCORPORELLE",+IF(D460=7,"SUBVENTIONS,QUOTES-PARTS ET CONTRIB.,ALLOC, INDEMNISATIONS",+IF(D460=8,"AMORTISSEMENT DE LA DETTE",+IF(D460=9,"AUTRES DEPENSES PUBLIQUES",0))))))))</f>
        <v>DEPENSES DE PERSONNEL</v>
      </c>
      <c r="F460" s="60" t="e">
        <f>SUMIFS([49]mensuel_section_article1!$E$3:$E$962,[49]mensuel_section_article1!$B$3:$B$962,C460,[49]mensuel_section_article1!$C$3:$C$962,D460)</f>
        <v>#VALUE!</v>
      </c>
      <c r="G460" s="60" t="e">
        <f>SUMIFS([49]mensuel_section_article1!$G$3:$G$962,[49]mensuel_section_article1!$B$3:$B$962,C460,[49]mensuel_section_article1!$C$3:$C$962,D460)</f>
        <v>#VALUE!</v>
      </c>
      <c r="H460" s="60">
        <v>31000000.459999997</v>
      </c>
      <c r="I460" s="60">
        <v>31000000.500000004</v>
      </c>
      <c r="J460" s="60">
        <v>30981268.210000001</v>
      </c>
      <c r="K460" s="60">
        <f t="shared" ref="K460:K462" si="257">+H460-J460</f>
        <v>18732.249999996275</v>
      </c>
      <c r="L460" s="61">
        <f t="shared" si="256"/>
        <v>0.99939573387993441</v>
      </c>
      <c r="M460" s="60"/>
      <c r="N460" s="24"/>
      <c r="O460" s="9"/>
      <c r="Q460" s="63"/>
      <c r="AK460" s="64"/>
      <c r="AL460" s="64"/>
      <c r="AM460" s="64"/>
      <c r="AN460" s="64"/>
      <c r="AO460" s="11">
        <v>1215116</v>
      </c>
      <c r="AP460" s="65" t="str">
        <f>CONCATENATE(AO460,D460)</f>
        <v>12151161</v>
      </c>
    </row>
    <row r="461" spans="1:42" s="62" customFormat="1" ht="27.75" customHeight="1" thickTop="1" thickBot="1" x14ac:dyDescent="0.3">
      <c r="A461" s="56" t="s">
        <v>22</v>
      </c>
      <c r="B461" s="56" t="s">
        <v>22</v>
      </c>
      <c r="C461" s="57">
        <f>IF(A459="SECTION",D459,C459)</f>
        <v>1215116</v>
      </c>
      <c r="D461" s="58">
        <v>2</v>
      </c>
      <c r="E461" s="59" t="str">
        <f>IF(D461=1, "DEPENSES DE PERSONNEL",  +IF(D461=2,"DEPENSES DE SERVICES ET CHARGES DIVERSES", +IF(D461=3,"ACHATS DE BIENS DE CONSOMMATION ET PETITS MATERIELS",+IF(D461=4,"IMMOBILISATION CORPORELLE",+IF(D461=5,"IMMOBILISATION INCORPORELLE",+IF(D461=7,"SUBVENTIONS,QUOTES-PARTS ET CONTRIB.,ALLOC, INDEMNISATIONS",+IF(D461=8,"AMORTISSEMENT DE LA DETTE",+IF(D461=9,"AUTRES DEPENSES PUBLIQUES",0))))))))</f>
        <v>DEPENSES DE SERVICES ET CHARGES DIVERSES</v>
      </c>
      <c r="F461" s="60" t="e">
        <f>SUMIFS([49]mensuel_section_article1!$E$3:$E$962,[49]mensuel_section_article1!$B$3:$B$962,C461,[49]mensuel_section_article1!$C$3:$C$962,D461)</f>
        <v>#VALUE!</v>
      </c>
      <c r="G461" s="60" t="e">
        <f>SUMIFS([49]mensuel_section_article1!$G$3:$G$962,[49]mensuel_section_article1!$B$3:$B$962,C461,[49]mensuel_section_article1!$C$3:$C$962,D461)</f>
        <v>#VALUE!</v>
      </c>
      <c r="H461" s="60">
        <v>13000000</v>
      </c>
      <c r="I461" s="60">
        <v>13000000</v>
      </c>
      <c r="J461" s="60">
        <v>12983827.76</v>
      </c>
      <c r="K461" s="60">
        <f t="shared" si="257"/>
        <v>16172.240000000224</v>
      </c>
      <c r="L461" s="61">
        <f t="shared" si="256"/>
        <v>0.99875598153846157</v>
      </c>
      <c r="M461" s="60"/>
      <c r="N461" s="24"/>
      <c r="O461" s="9"/>
      <c r="Q461" s="63"/>
      <c r="AK461" s="64"/>
      <c r="AL461" s="64"/>
      <c r="AM461" s="64"/>
      <c r="AN461" s="64"/>
      <c r="AO461" s="11">
        <v>1215116</v>
      </c>
      <c r="AP461" s="65" t="str">
        <f>CONCATENATE(AO461,D461)</f>
        <v>12151162</v>
      </c>
    </row>
    <row r="462" spans="1:42" s="62" customFormat="1" ht="27.75" hidden="1" customHeight="1" thickTop="1" thickBot="1" x14ac:dyDescent="0.3">
      <c r="A462" s="56" t="s">
        <v>22</v>
      </c>
      <c r="B462" s="56" t="s">
        <v>22</v>
      </c>
      <c r="C462" s="57">
        <f>IF(A460="SECTION",D460,C460)</f>
        <v>1215116</v>
      </c>
      <c r="D462" s="58">
        <v>7</v>
      </c>
      <c r="E462" s="59" t="str">
        <f>IF(D462=1, "DEPENSES DE PERSONNEL",  +IF(D462=2,"DEPENSES DE SERVICES ET CHARGES DIVERSES", +IF(D462=3,"ACHATS DE BIENS DE CONSOMMATION ET PETITS MATERIELS",+IF(D462=4,"IMMOBILISATION CORPORELLE",+IF(D462=5,"IMMOBILISATION INCORPORELLE",+IF(D462=7,"SUBVENTIONS,QUOTES-PARTS ET CONTRIB.,ALLOC, INDEMNISATIONS",+IF(D462=8,"AMORTISSEMENT DE LA DETTE",+IF(D462=9,"AUTRES DEPENSES PUBLIQUES",0))))))))</f>
        <v>SUBVENTIONS,QUOTES-PARTS ET CONTRIB.,ALLOC, INDEMNISATIONS</v>
      </c>
      <c r="F462" s="60" t="e">
        <f>SUMIFS([49]mensuel_section_article1!$E$3:$E$962,[49]mensuel_section_article1!$B$3:$B$962,C462,[49]mensuel_section_article1!$C$3:$C$962,D462)</f>
        <v>#VALUE!</v>
      </c>
      <c r="G462" s="60" t="e">
        <f>SUMIFS([49]mensuel_section_article1!$G$3:$G$962,[49]mensuel_section_article1!$B$3:$B$962,C462,[49]mensuel_section_article1!$C$3:$C$962,D462)</f>
        <v>#VALUE!</v>
      </c>
      <c r="H462" s="60">
        <v>0</v>
      </c>
      <c r="I462" s="60">
        <v>0</v>
      </c>
      <c r="J462" s="60">
        <v>0</v>
      </c>
      <c r="K462" s="60">
        <f t="shared" si="257"/>
        <v>0</v>
      </c>
      <c r="L462" s="61" t="e">
        <f>IF(F462&lt;&gt;0,K462/F462,0)</f>
        <v>#VALUE!</v>
      </c>
      <c r="M462" s="60" t="e">
        <f>+SUMIFS([51]section_article!$H$10:$H$936,[51]section_article!$C$10:$C$936,C462,[51]section_article!$D$10:$D$936,D462)</f>
        <v>#VALUE!</v>
      </c>
      <c r="N462" s="24" t="e">
        <f>+J462-M462</f>
        <v>#VALUE!</v>
      </c>
      <c r="O462" s="9"/>
      <c r="Q462" s="63"/>
      <c r="AK462" s="64"/>
      <c r="AL462" s="64"/>
      <c r="AM462" s="64"/>
      <c r="AN462" s="64"/>
      <c r="AO462" s="11">
        <v>1215116</v>
      </c>
      <c r="AP462" s="65" t="str">
        <f>CONCATENATE(AO462,D462)</f>
        <v>12151167</v>
      </c>
    </row>
    <row r="463" spans="1:42" s="1" customFormat="1" ht="27.75" customHeight="1" thickTop="1" thickBot="1" x14ac:dyDescent="0.3">
      <c r="A463" s="50" t="s">
        <v>20</v>
      </c>
      <c r="B463" s="50" t="s">
        <v>20</v>
      </c>
      <c r="C463" s="50" t="s">
        <v>20</v>
      </c>
      <c r="D463" s="51">
        <v>1215117</v>
      </c>
      <c r="E463" s="67" t="s">
        <v>82</v>
      </c>
      <c r="F463" s="68" t="e">
        <f>SUMIF($B$464:$B$466,"article",F464:F466)</f>
        <v>#VALUE!</v>
      </c>
      <c r="G463" s="68" t="e">
        <f>SUMIF($B$464:$B$466,"article",G464:G466)</f>
        <v>#VALUE!</v>
      </c>
      <c r="H463" s="68">
        <f>SUMIF($B$464:$B$466,"article",H464:H466)</f>
        <v>40551292.956</v>
      </c>
      <c r="I463" s="68">
        <v>40551292.899999999</v>
      </c>
      <c r="J463" s="68">
        <f>SUMIF($B$464:$B$466,"article",J464:J466)</f>
        <v>40286614.380000003</v>
      </c>
      <c r="K463" s="68">
        <f>SUMIF($B$464:$B$466,"article",K464:K466)</f>
        <v>264678.57599999756</v>
      </c>
      <c r="L463" s="69">
        <f>+J463/H463</f>
        <v>0.9934729929255971</v>
      </c>
      <c r="M463" s="68"/>
      <c r="N463" s="68"/>
      <c r="O463" s="9"/>
      <c r="Q463" s="23"/>
      <c r="AK463" s="70"/>
      <c r="AL463" s="70"/>
      <c r="AM463" s="70"/>
      <c r="AN463" s="70"/>
      <c r="AO463" s="11">
        <v>1215117</v>
      </c>
    </row>
    <row r="464" spans="1:42" s="62" customFormat="1" ht="27.75" customHeight="1" thickTop="1" thickBot="1" x14ac:dyDescent="0.3">
      <c r="A464" s="56" t="s">
        <v>22</v>
      </c>
      <c r="B464" s="56" t="s">
        <v>22</v>
      </c>
      <c r="C464" s="57">
        <f>IF(A463="SECTION",D463,C463)</f>
        <v>1215117</v>
      </c>
      <c r="D464" s="58">
        <v>1</v>
      </c>
      <c r="E464" s="59" t="str">
        <f>IF(D464=1, "DEPENSES DE PERSONNEL",  +IF(D464=2,"DEPENSES DE SERVICES ET CHARGES DIVERSES", +IF(D464=3,"ACHATS DE BIENS DE CONSOMMATION ET PETITS MATERIELS",+IF(D464=4,"IMMOBILISATION CORPORELLE",+IF(D464=5,"IMMOBILISATION INCORPORELLE",+IF(D464=7,"SUBVENTIONS,QUOTES-PARTS ET CONTRIB.,ALLOC, INDEMNISATIONS",+IF(D464=8,"AMORTISSEMENT DE LA DETTE",+IF(D464=9,"AUTRES DEPENSES PUBLIQUES",0))))))))</f>
        <v>DEPENSES DE PERSONNEL</v>
      </c>
      <c r="F464" s="60" t="e">
        <f>SUMIFS([49]mensuel_section_article1!$E$3:$E$962,[49]mensuel_section_article1!$B$3:$B$962,C464,[49]mensuel_section_article1!$C$3:$C$962,D464)</f>
        <v>#VALUE!</v>
      </c>
      <c r="G464" s="60" t="e">
        <f>SUMIFS([49]mensuel_section_article1!$G$3:$G$962,[49]mensuel_section_article1!$B$3:$B$962,C464,[49]mensuel_section_article1!$C$3:$C$962,D464)</f>
        <v>#VALUE!</v>
      </c>
      <c r="H464" s="60">
        <v>30699999.919999998</v>
      </c>
      <c r="I464" s="60">
        <v>30699999.899999999</v>
      </c>
      <c r="J464" s="60">
        <v>30435476.140000001</v>
      </c>
      <c r="K464" s="60">
        <f t="shared" ref="K464:K466" si="258">+H464-J464</f>
        <v>264523.77999999747</v>
      </c>
      <c r="L464" s="61">
        <f>+J464/H464</f>
        <v>0.99138359020555988</v>
      </c>
      <c r="M464" s="60"/>
      <c r="N464" s="24"/>
      <c r="O464" s="64"/>
      <c r="P464" s="64"/>
      <c r="Q464" s="64"/>
      <c r="R464" s="64"/>
      <c r="S464" s="64"/>
      <c r="T464" s="64"/>
      <c r="U464" s="64"/>
      <c r="V464" s="64"/>
      <c r="W464" s="64">
        <f t="shared" ref="R464:AJ464" si="259">SUM(W462:W463)</f>
        <v>0</v>
      </c>
      <c r="X464" s="64">
        <f t="shared" si="259"/>
        <v>0</v>
      </c>
      <c r="Y464" s="64">
        <f t="shared" si="259"/>
        <v>0</v>
      </c>
      <c r="Z464" s="64">
        <f t="shared" si="259"/>
        <v>0</v>
      </c>
      <c r="AA464" s="64">
        <f t="shared" si="259"/>
        <v>0</v>
      </c>
      <c r="AB464" s="64">
        <f t="shared" si="259"/>
        <v>0</v>
      </c>
      <c r="AC464" s="64">
        <f>SUM(AG462:AG463)</f>
        <v>0</v>
      </c>
      <c r="AD464" s="64">
        <f t="shared" si="259"/>
        <v>0</v>
      </c>
      <c r="AE464" s="64">
        <f t="shared" si="259"/>
        <v>0</v>
      </c>
      <c r="AF464" s="64">
        <f t="shared" si="259"/>
        <v>0</v>
      </c>
      <c r="AG464" s="64">
        <f t="shared" si="259"/>
        <v>0</v>
      </c>
      <c r="AH464" s="64">
        <f t="shared" si="259"/>
        <v>0</v>
      </c>
      <c r="AI464" s="64">
        <f t="shared" si="259"/>
        <v>0</v>
      </c>
      <c r="AJ464" s="64">
        <f t="shared" si="259"/>
        <v>0</v>
      </c>
      <c r="AK464" s="64"/>
      <c r="AL464" s="64"/>
      <c r="AM464" s="64"/>
      <c r="AN464" s="64">
        <f>SUM(AN462:AN463)</f>
        <v>0</v>
      </c>
      <c r="AO464" s="11">
        <v>1215117</v>
      </c>
      <c r="AP464" s="65" t="str">
        <f>CONCATENATE(AO464,D464)</f>
        <v>12151171</v>
      </c>
    </row>
    <row r="465" spans="1:42" s="62" customFormat="1" ht="27.75" customHeight="1" thickTop="1" thickBot="1" x14ac:dyDescent="0.3">
      <c r="A465" s="56" t="s">
        <v>22</v>
      </c>
      <c r="B465" s="56" t="s">
        <v>22</v>
      </c>
      <c r="C465" s="57">
        <f>IF(A463="SECTION",D463,C463)</f>
        <v>1215117</v>
      </c>
      <c r="D465" s="58">
        <v>2</v>
      </c>
      <c r="E465" s="59" t="str">
        <f>IF(D465=1, "DEPENSES DE PERSONNEL",  +IF(D465=2,"DEPENSES DE SERVICES ET CHARGES DIVERSES", +IF(D465=3,"ACHATS DE BIENS DE CONSOMMATION ET PETITS MATERIELS",+IF(D465=4,"IMMOBILISATION CORPORELLE",+IF(D465=5,"IMMOBILISATION INCORPORELLE",+IF(D465=7,"SUBVENTIONS,QUOTES-PARTS ET CONTRIB.,ALLOC, INDEMNISATIONS",+IF(D465=8,"AMORTISSEMENT DE LA DETTE",+IF(D465=9,"AUTRES DEPENSES PUBLIQUES",0))))))))</f>
        <v>DEPENSES DE SERVICES ET CHARGES DIVERSES</v>
      </c>
      <c r="F465" s="60" t="e">
        <f>SUMIFS([49]mensuel_section_article1!$E$3:$E$962,[49]mensuel_section_article1!$B$3:$B$962,C465,[49]mensuel_section_article1!$C$3:$C$962,D465)</f>
        <v>#VALUE!</v>
      </c>
      <c r="G465" s="60" t="e">
        <f>SUMIFS([49]mensuel_section_article1!$G$3:$G$962,[49]mensuel_section_article1!$B$3:$B$962,C465,[49]mensuel_section_article1!$C$3:$C$962,D465)</f>
        <v>#VALUE!</v>
      </c>
      <c r="H465" s="60">
        <v>9851293.0360000003</v>
      </c>
      <c r="I465" s="60">
        <v>9851293</v>
      </c>
      <c r="J465" s="60">
        <v>9851138.2400000002</v>
      </c>
      <c r="K465" s="60">
        <f t="shared" si="258"/>
        <v>154.79600000008941</v>
      </c>
      <c r="L465" s="61">
        <f>+J465/H465</f>
        <v>0.99998428673277362</v>
      </c>
      <c r="M465" s="60"/>
      <c r="N465" s="24"/>
      <c r="O465" s="64"/>
      <c r="P465" s="64"/>
      <c r="Q465" s="64"/>
      <c r="R465" s="64"/>
      <c r="S465" s="64"/>
      <c r="T465" s="64"/>
      <c r="U465" s="64"/>
      <c r="V465" s="64"/>
      <c r="W465" s="64">
        <f t="shared" ref="R465:AJ466" si="260">SUM(W463:W463)</f>
        <v>0</v>
      </c>
      <c r="X465" s="64">
        <f t="shared" si="260"/>
        <v>0</v>
      </c>
      <c r="Y465" s="64">
        <f t="shared" si="260"/>
        <v>0</v>
      </c>
      <c r="Z465" s="64">
        <f t="shared" si="260"/>
        <v>0</v>
      </c>
      <c r="AA465" s="64">
        <f t="shared" si="260"/>
        <v>0</v>
      </c>
      <c r="AB465" s="64">
        <f t="shared" si="260"/>
        <v>0</v>
      </c>
      <c r="AC465" s="64">
        <f>SUM(AG463:AG463)</f>
        <v>0</v>
      </c>
      <c r="AD465" s="64">
        <f t="shared" si="260"/>
        <v>0</v>
      </c>
      <c r="AE465" s="64">
        <f t="shared" si="260"/>
        <v>0</v>
      </c>
      <c r="AF465" s="64">
        <f t="shared" si="260"/>
        <v>0</v>
      </c>
      <c r="AG465" s="64">
        <f t="shared" si="260"/>
        <v>0</v>
      </c>
      <c r="AH465" s="64">
        <f t="shared" si="260"/>
        <v>0</v>
      </c>
      <c r="AI465" s="64">
        <f t="shared" si="260"/>
        <v>0</v>
      </c>
      <c r="AJ465" s="64">
        <f t="shared" si="260"/>
        <v>0</v>
      </c>
      <c r="AK465" s="64"/>
      <c r="AL465" s="64"/>
      <c r="AM465" s="64"/>
      <c r="AN465" s="64">
        <f>SUM(AN463:AN463)</f>
        <v>0</v>
      </c>
      <c r="AO465" s="11">
        <v>1215117</v>
      </c>
      <c r="AP465" s="65" t="str">
        <f>CONCATENATE(AO465,D465)</f>
        <v>12151172</v>
      </c>
    </row>
    <row r="466" spans="1:42" s="62" customFormat="1" ht="27.75" hidden="1" customHeight="1" thickTop="1" thickBot="1" x14ac:dyDescent="0.3">
      <c r="A466" s="56" t="s">
        <v>22</v>
      </c>
      <c r="B466" s="56" t="s">
        <v>22</v>
      </c>
      <c r="C466" s="57">
        <f>IF(A464="SECTION",D464,C464)</f>
        <v>1215117</v>
      </c>
      <c r="D466" s="58">
        <v>7</v>
      </c>
      <c r="E466" s="59" t="str">
        <f>IF(D466=1, "DEPENSES DE PERSONNEL",  +IF(D466=2,"DEPENSES DE SERVICES ET CHARGES DIVERSES", +IF(D466=3,"ACHATS DE BIENS DE CONSOMMATION ET PETITS MATERIELS",+IF(D466=4,"IMMOBILISATION CORPORELLE",+IF(D466=5,"IMMOBILISATION INCORPORELLE",+IF(D466=7,"SUBVENTIONS,QUOTES-PARTS ET CONTRIB.,ALLOC, INDEMNISATIONS",+IF(D466=8,"AMORTISSEMENT DE LA DETTE",+IF(D466=9,"AUTRES DEPENSES PUBLIQUES",0))))))))</f>
        <v>SUBVENTIONS,QUOTES-PARTS ET CONTRIB.,ALLOC, INDEMNISATIONS</v>
      </c>
      <c r="F466" s="60" t="e">
        <f>SUMIFS([49]mensuel_section_article1!$E$3:$E$962,[49]mensuel_section_article1!$B$3:$B$962,C466,[49]mensuel_section_article1!$C$3:$C$962,D466)</f>
        <v>#VALUE!</v>
      </c>
      <c r="G466" s="60" t="e">
        <f>SUMIFS([49]mensuel_section_article1!$G$3:$G$962,[49]mensuel_section_article1!$B$3:$B$962,C466,[49]mensuel_section_article1!$C$3:$C$962,D466)</f>
        <v>#VALUE!</v>
      </c>
      <c r="H466" s="60">
        <v>0</v>
      </c>
      <c r="I466" s="60">
        <v>0</v>
      </c>
      <c r="J466" s="60">
        <v>0</v>
      </c>
      <c r="K466" s="60">
        <f t="shared" si="258"/>
        <v>0</v>
      </c>
      <c r="L466" s="61" t="e">
        <f>IF(F466&lt;&gt;0,K466/F466,0)</f>
        <v>#VALUE!</v>
      </c>
      <c r="M466" s="60" t="e">
        <f>+SUMIFS([51]section_article!$H$10:$H$936,[51]section_article!$C$10:$C$936,C466,[51]section_article!$D$10:$D$936,D466)</f>
        <v>#VALUE!</v>
      </c>
      <c r="N466" s="24" t="e">
        <f>+J466-M466</f>
        <v>#VALUE!</v>
      </c>
      <c r="O466" s="64"/>
      <c r="P466" s="64"/>
      <c r="Q466" s="64"/>
      <c r="R466" s="64">
        <f t="shared" si="260"/>
        <v>0</v>
      </c>
      <c r="S466" s="64">
        <f t="shared" si="260"/>
        <v>0</v>
      </c>
      <c r="T466" s="64">
        <f t="shared" si="260"/>
        <v>0</v>
      </c>
      <c r="U466" s="64">
        <f t="shared" si="260"/>
        <v>0</v>
      </c>
      <c r="V466" s="64">
        <f t="shared" si="260"/>
        <v>0</v>
      </c>
      <c r="W466" s="64">
        <f t="shared" si="260"/>
        <v>0</v>
      </c>
      <c r="X466" s="64">
        <f t="shared" si="260"/>
        <v>0</v>
      </c>
      <c r="Y466" s="64">
        <f t="shared" si="260"/>
        <v>0</v>
      </c>
      <c r="Z466" s="64">
        <f t="shared" si="260"/>
        <v>0</v>
      </c>
      <c r="AA466" s="64">
        <f t="shared" si="260"/>
        <v>0</v>
      </c>
      <c r="AB466" s="64">
        <f t="shared" si="260"/>
        <v>0</v>
      </c>
      <c r="AC466" s="64">
        <f>SUM(AG464:AG464)</f>
        <v>0</v>
      </c>
      <c r="AD466" s="64">
        <f t="shared" si="260"/>
        <v>0</v>
      </c>
      <c r="AE466" s="64">
        <f t="shared" si="260"/>
        <v>0</v>
      </c>
      <c r="AF466" s="64">
        <f t="shared" si="260"/>
        <v>0</v>
      </c>
      <c r="AG466" s="64">
        <f t="shared" si="260"/>
        <v>0</v>
      </c>
      <c r="AH466" s="64">
        <f t="shared" si="260"/>
        <v>0</v>
      </c>
      <c r="AI466" s="64">
        <f t="shared" si="260"/>
        <v>0</v>
      </c>
      <c r="AJ466" s="64">
        <f t="shared" si="260"/>
        <v>0</v>
      </c>
      <c r="AK466" s="64"/>
      <c r="AL466" s="64"/>
      <c r="AM466" s="64"/>
      <c r="AN466" s="64">
        <f>SUM(AN464:AN464)</f>
        <v>0</v>
      </c>
      <c r="AO466" s="11">
        <v>1215117</v>
      </c>
      <c r="AP466" s="65" t="str">
        <f>CONCATENATE(AO466,D466)</f>
        <v>12151177</v>
      </c>
    </row>
    <row r="467" spans="1:42" s="1" customFormat="1" ht="27.75" customHeight="1" thickTop="1" thickBot="1" x14ac:dyDescent="0.3">
      <c r="A467" s="50" t="s">
        <v>20</v>
      </c>
      <c r="B467" s="50" t="s">
        <v>20</v>
      </c>
      <c r="C467" s="50" t="s">
        <v>20</v>
      </c>
      <c r="D467" s="51">
        <v>1215118</v>
      </c>
      <c r="E467" s="67" t="s">
        <v>83</v>
      </c>
      <c r="F467" s="68" t="e">
        <f>SUMIF($B$468:$B$470,"article",F468:F470)</f>
        <v>#VALUE!</v>
      </c>
      <c r="G467" s="68" t="e">
        <f>SUMIF($B$468:$B$470,"article",G468:G470)</f>
        <v>#VALUE!</v>
      </c>
      <c r="H467" s="68">
        <f>SUMIF($B$468:$B$470,"article",H468:H470)</f>
        <v>63053965</v>
      </c>
      <c r="I467" s="68">
        <v>63053964.999999993</v>
      </c>
      <c r="J467" s="68">
        <f>SUMIF($B$468:$B$470,"article",J468:J470)</f>
        <v>60355371.460000001</v>
      </c>
      <c r="K467" s="68">
        <f>SUMIF($B$468:$B$470,"article",K468:K470)</f>
        <v>2698593.5399999991</v>
      </c>
      <c r="L467" s="69">
        <f>+J467/H467</f>
        <v>0.95720184226321059</v>
      </c>
      <c r="M467" s="68"/>
      <c r="N467" s="68"/>
      <c r="O467" s="9"/>
      <c r="Q467" s="23"/>
      <c r="AK467" s="70"/>
      <c r="AL467" s="70"/>
      <c r="AM467" s="70"/>
      <c r="AN467" s="70"/>
      <c r="AO467" s="11">
        <v>1215118</v>
      </c>
    </row>
    <row r="468" spans="1:42" s="62" customFormat="1" ht="27.75" customHeight="1" thickTop="1" thickBot="1" x14ac:dyDescent="0.3">
      <c r="A468" s="56" t="s">
        <v>22</v>
      </c>
      <c r="B468" s="56" t="s">
        <v>22</v>
      </c>
      <c r="C468" s="57">
        <f>IF(A467="SECTION",D467,C467)</f>
        <v>1215118</v>
      </c>
      <c r="D468" s="58">
        <v>1</v>
      </c>
      <c r="E468" s="59" t="str">
        <f>IF(D468=1, "DEPENSES DE PERSONNEL",  +IF(D468=2,"DEPENSES DE SERVICES ET CHARGES DIVERSES", +IF(D468=3,"ACHATS DE BIENS DE CONSOMMATION ET PETITS MATERIELS",+IF(D468=4,"IMMOBILISATION CORPORELLE",+IF(D468=5,"IMMOBILISATION INCORPORELLE",+IF(D468=7,"SUBVENTIONS,QUOTES-PARTS ET CONTRIB.,ALLOC, INDEMNISATIONS",+IF(D468=8,"AMORTISSEMENT DE LA DETTE",+IF(D468=9,"AUTRES DEPENSES PUBLIQUES",0))))))))</f>
        <v>DEPENSES DE PERSONNEL</v>
      </c>
      <c r="F468" s="60" t="e">
        <f>SUMIFS([49]mensuel_section_article1!$E$3:$E$962,[49]mensuel_section_article1!$B$3:$B$962,C468,[49]mensuel_section_article1!$C$3:$C$962,D468)</f>
        <v>#VALUE!</v>
      </c>
      <c r="G468" s="60" t="e">
        <f>SUMIFS([49]mensuel_section_article1!$G$3:$G$962,[49]mensuel_section_article1!$B$3:$B$962,C468,[49]mensuel_section_article1!$C$3:$C$962,D468)</f>
        <v>#VALUE!</v>
      </c>
      <c r="H468" s="60">
        <v>43467336</v>
      </c>
      <c r="I468" s="60">
        <v>43467335.999999993</v>
      </c>
      <c r="J468" s="60">
        <v>42573756.060000002</v>
      </c>
      <c r="K468" s="60">
        <f t="shared" ref="K468:K470" si="261">+H468-J468</f>
        <v>893579.93999999762</v>
      </c>
      <c r="L468" s="61">
        <f>+J468/H468</f>
        <v>0.97944249585481846</v>
      </c>
      <c r="M468" s="60"/>
      <c r="N468" s="24"/>
      <c r="O468" s="9"/>
      <c r="Q468" s="63"/>
      <c r="AK468" s="64"/>
      <c r="AL468" s="64"/>
      <c r="AM468" s="64"/>
      <c r="AN468" s="64"/>
      <c r="AO468" s="11">
        <v>1215118</v>
      </c>
      <c r="AP468" s="65" t="str">
        <f>CONCATENATE(AO468,D468)</f>
        <v>12151181</v>
      </c>
    </row>
    <row r="469" spans="1:42" s="62" customFormat="1" ht="27.75" customHeight="1" thickTop="1" thickBot="1" x14ac:dyDescent="0.3">
      <c r="A469" s="56" t="s">
        <v>22</v>
      </c>
      <c r="B469" s="56" t="s">
        <v>22</v>
      </c>
      <c r="C469" s="57">
        <f>IF(A467="SECTION",D467,C467)</f>
        <v>1215118</v>
      </c>
      <c r="D469" s="58">
        <v>2</v>
      </c>
      <c r="E469" s="59" t="str">
        <f>IF(D469=1, "DEPENSES DE PERSONNEL",  +IF(D469=2,"DEPENSES DE SERVICES ET CHARGES DIVERSES", +IF(D469=3,"ACHATS DE BIENS DE CONSOMMATION ET PETITS MATERIELS",+IF(D469=4,"IMMOBILISATION CORPORELLE",+IF(D469=5,"IMMOBILISATION INCORPORELLE",+IF(D469=7,"SUBVENTIONS,QUOTES-PARTS ET CONTRIB.,ALLOC, INDEMNISATIONS",+IF(D469=8,"AMORTISSEMENT DE LA DETTE",+IF(D469=9,"AUTRES DEPENSES PUBLIQUES",0))))))))</f>
        <v>DEPENSES DE SERVICES ET CHARGES DIVERSES</v>
      </c>
      <c r="F469" s="60" t="e">
        <f>SUMIFS([49]mensuel_section_article1!$E$3:$E$962,[49]mensuel_section_article1!$B$3:$B$962,C469,[49]mensuel_section_article1!$C$3:$C$962,D469)</f>
        <v>#VALUE!</v>
      </c>
      <c r="G469" s="60" t="e">
        <f>SUMIFS([49]mensuel_section_article1!$G$3:$G$962,[49]mensuel_section_article1!$B$3:$B$962,C469,[49]mensuel_section_article1!$C$3:$C$962,D469)</f>
        <v>#VALUE!</v>
      </c>
      <c r="H469" s="60">
        <v>19586629</v>
      </c>
      <c r="I469" s="60">
        <v>19586629</v>
      </c>
      <c r="J469" s="60">
        <v>17781615.399999999</v>
      </c>
      <c r="K469" s="60">
        <f t="shared" si="261"/>
        <v>1805013.6000000015</v>
      </c>
      <c r="L469" s="61">
        <f>+J469/H469</f>
        <v>0.9078446015391417</v>
      </c>
      <c r="M469" s="60"/>
      <c r="N469" s="24"/>
      <c r="O469" s="9"/>
      <c r="Q469" s="63"/>
      <c r="AK469" s="64"/>
      <c r="AL469" s="64"/>
      <c r="AM469" s="64"/>
      <c r="AN469" s="64"/>
      <c r="AO469" s="11">
        <v>1215118</v>
      </c>
      <c r="AP469" s="65" t="str">
        <f>CONCATENATE(AO469,D469)</f>
        <v>12151182</v>
      </c>
    </row>
    <row r="470" spans="1:42" s="62" customFormat="1" ht="27.75" hidden="1" customHeight="1" thickTop="1" thickBot="1" x14ac:dyDescent="0.3">
      <c r="A470" s="56" t="s">
        <v>22</v>
      </c>
      <c r="B470" s="56" t="s">
        <v>22</v>
      </c>
      <c r="C470" s="57">
        <f>IF(A468="SECTION",D468,C468)</f>
        <v>1215118</v>
      </c>
      <c r="D470" s="58">
        <v>7</v>
      </c>
      <c r="E470" s="59" t="str">
        <f>IF(D470=1, "DEPENSES DE PERSONNEL",  +IF(D470=2,"DEPENSES DE SERVICES ET CHARGES DIVERSES", +IF(D470=3,"ACHATS DE BIENS DE CONSOMMATION ET PETITS MATERIELS",+IF(D470=4,"IMMOBILISATION CORPORELLE",+IF(D470=5,"IMMOBILISATION INCORPORELLE",+IF(D470=7,"SUBVENTIONS,QUOTES-PARTS ET CONTRIB.,ALLOC, INDEMNISATIONS",+IF(D470=8,"AMORTISSEMENT DE LA DETTE",+IF(D470=9,"AUTRES DEPENSES PUBLIQUES",0))))))))</f>
        <v>SUBVENTIONS,QUOTES-PARTS ET CONTRIB.,ALLOC, INDEMNISATIONS</v>
      </c>
      <c r="F470" s="60" t="e">
        <f>SUMIFS([49]mensuel_section_article1!$E$3:$E$962,[49]mensuel_section_article1!$B$3:$B$962,C470,[49]mensuel_section_article1!$C$3:$C$962,D470)</f>
        <v>#VALUE!</v>
      </c>
      <c r="G470" s="60" t="e">
        <f>SUMIFS([49]mensuel_section_article1!$G$3:$G$962,[49]mensuel_section_article1!$B$3:$B$962,C470,[49]mensuel_section_article1!$C$3:$C$962,D470)</f>
        <v>#VALUE!</v>
      </c>
      <c r="H470" s="60">
        <v>0</v>
      </c>
      <c r="I470" s="60">
        <v>0</v>
      </c>
      <c r="J470" s="60">
        <v>0</v>
      </c>
      <c r="K470" s="60">
        <f t="shared" si="261"/>
        <v>0</v>
      </c>
      <c r="L470" s="61" t="e">
        <f>IF(F470&lt;&gt;0,K470/F470,0)</f>
        <v>#VALUE!</v>
      </c>
      <c r="M470" s="60" t="e">
        <f>+SUMIFS([51]section_article!$H$10:$H$936,[51]section_article!$C$10:$C$936,C470,[51]section_article!$D$10:$D$936,D470)</f>
        <v>#VALUE!</v>
      </c>
      <c r="N470" s="24" t="e">
        <f>+J470-M470</f>
        <v>#VALUE!</v>
      </c>
      <c r="O470" s="9">
        <f>+J4-65775590000</f>
        <v>19583533311.219986</v>
      </c>
      <c r="Q470" s="63"/>
      <c r="AK470" s="64"/>
      <c r="AL470" s="64"/>
      <c r="AM470" s="64"/>
      <c r="AN470" s="64"/>
      <c r="AO470" s="11">
        <v>1215118</v>
      </c>
      <c r="AP470" s="65" t="str">
        <f>CONCATENATE(AO470,D470)</f>
        <v>12151187</v>
      </c>
    </row>
    <row r="471" spans="1:42" s="1" customFormat="1" ht="27.75" customHeight="1" thickTop="1" thickBot="1" x14ac:dyDescent="0.3">
      <c r="A471" s="50" t="s">
        <v>20</v>
      </c>
      <c r="B471" s="50" t="s">
        <v>20</v>
      </c>
      <c r="C471" s="50" t="s">
        <v>20</v>
      </c>
      <c r="D471" s="51">
        <v>1215119</v>
      </c>
      <c r="E471" s="67" t="s">
        <v>84</v>
      </c>
      <c r="F471" s="68" t="e">
        <f>SUMIF($B$472:$B$474,"article",F472:F474)</f>
        <v>#VALUE!</v>
      </c>
      <c r="G471" s="68" t="e">
        <f>SUMIF($B$472:$B$474,"article",G472:G474)</f>
        <v>#VALUE!</v>
      </c>
      <c r="H471" s="68">
        <f>SUMIF($B$472:$B$474,"article",H472:H474)</f>
        <v>120481769.038</v>
      </c>
      <c r="I471" s="68">
        <v>120481768.99999997</v>
      </c>
      <c r="J471" s="68">
        <f>SUMIF($B$472:$B$474,"article",J472:J474)</f>
        <v>120393524.62</v>
      </c>
      <c r="K471" s="68">
        <f>SUMIF($B$472:$B$474,"article",K472:K474)</f>
        <v>88244.417999997735</v>
      </c>
      <c r="L471" s="69">
        <f>+J471/H471</f>
        <v>0.99926757036600145</v>
      </c>
      <c r="M471" s="68"/>
      <c r="N471" s="68"/>
      <c r="O471" s="9"/>
      <c r="Q471" s="23"/>
      <c r="AK471" s="70"/>
      <c r="AL471" s="70"/>
      <c r="AM471" s="70"/>
      <c r="AN471" s="70"/>
      <c r="AO471" s="11">
        <v>1215119</v>
      </c>
    </row>
    <row r="472" spans="1:42" s="62" customFormat="1" ht="27.75" customHeight="1" thickTop="1" thickBot="1" x14ac:dyDescent="0.3">
      <c r="A472" s="56" t="s">
        <v>22</v>
      </c>
      <c r="B472" s="56" t="s">
        <v>22</v>
      </c>
      <c r="C472" s="57">
        <f>IF(A471="SECTION",D471,C471)</f>
        <v>1215119</v>
      </c>
      <c r="D472" s="58">
        <v>1</v>
      </c>
      <c r="E472" s="59" t="str">
        <f>IF(D472=1, "DEPENSES DE PERSONNEL",  +IF(D472=2,"DEPENSES DE SERVICES ET CHARGES DIVERSES", +IF(D472=3,"ACHATS DE BIENS DE CONSOMMATION ET PETITS MATERIELS",+IF(D472=4,"IMMOBILISATION CORPORELLE",+IF(D472=5,"IMMOBILISATION INCORPORELLE",+IF(D472=7,"SUBVENTIONS,QUOTES-PARTS ET CONTRIB.,ALLOC, INDEMNISATIONS",+IF(D472=8,"AMORTISSEMENT DE LA DETTE",+IF(D472=9,"AUTRES DEPENSES PUBLIQUES",0))))))))</f>
        <v>DEPENSES DE PERSONNEL</v>
      </c>
      <c r="F472" s="60" t="e">
        <f>SUMIFS([49]mensuel_section_article1!$E$3:$E$962,[49]mensuel_section_article1!$B$3:$B$962,C472,[49]mensuel_section_article1!$C$3:$C$962,D472)</f>
        <v>#VALUE!</v>
      </c>
      <c r="G472" s="60" t="e">
        <f>SUMIFS([49]mensuel_section_article1!$G$3:$G$962,[49]mensuel_section_article1!$B$3:$B$962,C472,[49]mensuel_section_article1!$C$3:$C$962,D472)</f>
        <v>#VALUE!</v>
      </c>
      <c r="H472" s="60">
        <v>77481769</v>
      </c>
      <c r="I472" s="60">
        <v>77481768.99999997</v>
      </c>
      <c r="J472" s="60">
        <v>77426663.219999999</v>
      </c>
      <c r="K472" s="60">
        <f t="shared" ref="K472:K474" si="262">+H472-J472</f>
        <v>55105.780000001192</v>
      </c>
      <c r="L472" s="61">
        <f>+J472/H472</f>
        <v>0.99928879037338447</v>
      </c>
      <c r="M472" s="60"/>
      <c r="N472" s="24"/>
      <c r="O472" s="9"/>
      <c r="Q472" s="63"/>
      <c r="AK472" s="64"/>
      <c r="AL472" s="64"/>
      <c r="AM472" s="64"/>
      <c r="AN472" s="64"/>
      <c r="AO472" s="11">
        <v>1215119</v>
      </c>
      <c r="AP472" s="65" t="str">
        <f>CONCATENATE(AO472,D472)</f>
        <v>12151191</v>
      </c>
    </row>
    <row r="473" spans="1:42" s="62" customFormat="1" ht="27.75" customHeight="1" thickTop="1" thickBot="1" x14ac:dyDescent="0.3">
      <c r="A473" s="56" t="s">
        <v>22</v>
      </c>
      <c r="B473" s="56" t="s">
        <v>22</v>
      </c>
      <c r="C473" s="57">
        <f>IF(A471="SECTION",D471,C471)</f>
        <v>1215119</v>
      </c>
      <c r="D473" s="58">
        <v>2</v>
      </c>
      <c r="E473" s="59" t="str">
        <f>IF(D473=1, "DEPENSES DE PERSONNEL",  +IF(D473=2,"DEPENSES DE SERVICES ET CHARGES DIVERSES", +IF(D473=3,"ACHATS DE BIENS DE CONSOMMATION ET PETITS MATERIELS",+IF(D473=4,"IMMOBILISATION CORPORELLE",+IF(D473=5,"IMMOBILISATION INCORPORELLE",+IF(D473=7,"SUBVENTIONS,QUOTES-PARTS ET CONTRIB.,ALLOC, INDEMNISATIONS",+IF(D473=8,"AMORTISSEMENT DE LA DETTE",+IF(D473=9,"AUTRES DEPENSES PUBLIQUES",0))))))))</f>
        <v>DEPENSES DE SERVICES ET CHARGES DIVERSES</v>
      </c>
      <c r="F473" s="60" t="e">
        <f>SUMIFS([49]mensuel_section_article1!$E$3:$E$962,[49]mensuel_section_article1!$B$3:$B$962,C473,[49]mensuel_section_article1!$C$3:$C$962,D473)</f>
        <v>#VALUE!</v>
      </c>
      <c r="G473" s="60" t="e">
        <f>SUMIFS([49]mensuel_section_article1!$G$3:$G$962,[49]mensuel_section_article1!$B$3:$B$962,C473,[49]mensuel_section_article1!$C$3:$C$962,D473)</f>
        <v>#VALUE!</v>
      </c>
      <c r="H473" s="60">
        <v>43000000.038000003</v>
      </c>
      <c r="I473" s="60">
        <v>43000000</v>
      </c>
      <c r="J473" s="60">
        <v>42966861.400000006</v>
      </c>
      <c r="K473" s="60">
        <f t="shared" si="262"/>
        <v>33138.637999996543</v>
      </c>
      <c r="L473" s="61">
        <f>+J473/H473</f>
        <v>0.99922933400068115</v>
      </c>
      <c r="M473" s="60"/>
      <c r="N473" s="24"/>
      <c r="O473" s="9"/>
      <c r="Q473" s="63"/>
      <c r="AK473" s="64"/>
      <c r="AL473" s="64"/>
      <c r="AM473" s="64"/>
      <c r="AN473" s="64"/>
      <c r="AO473" s="11">
        <v>1215119</v>
      </c>
      <c r="AP473" s="65" t="str">
        <f>CONCATENATE(AO473,D473)</f>
        <v>12151192</v>
      </c>
    </row>
    <row r="474" spans="1:42" s="62" customFormat="1" ht="27.75" hidden="1" customHeight="1" thickTop="1" thickBot="1" x14ac:dyDescent="0.3">
      <c r="A474" s="56" t="s">
        <v>22</v>
      </c>
      <c r="B474" s="56" t="s">
        <v>22</v>
      </c>
      <c r="C474" s="57">
        <f>IF(A472="SECTION",D472,C472)</f>
        <v>1215119</v>
      </c>
      <c r="D474" s="58">
        <v>7</v>
      </c>
      <c r="E474" s="59" t="str">
        <f>IF(D474=1, "DEPENSES DE PERSONNEL",  +IF(D474=2,"DEPENSES DE SERVICES ET CHARGES DIVERSES", +IF(D474=3,"ACHATS DE BIENS DE CONSOMMATION ET PETITS MATERIELS",+IF(D474=4,"IMMOBILISATION CORPORELLE",+IF(D474=5,"IMMOBILISATION INCORPORELLE",+IF(D474=7,"SUBVENTIONS,QUOTES-PARTS ET CONTRIB.,ALLOC, INDEMNISATIONS",+IF(D474=8,"AMORTISSEMENT DE LA DETTE",+IF(D474=9,"AUTRES DEPENSES PUBLIQUES",0))))))))</f>
        <v>SUBVENTIONS,QUOTES-PARTS ET CONTRIB.,ALLOC, INDEMNISATIONS</v>
      </c>
      <c r="F474" s="60" t="e">
        <f>SUMIFS([49]mensuel_section_article1!$E$3:$E$962,[49]mensuel_section_article1!$B$3:$B$962,C474,[49]mensuel_section_article1!$C$3:$C$962,D474)</f>
        <v>#VALUE!</v>
      </c>
      <c r="G474" s="60" t="e">
        <f>SUMIFS([49]mensuel_section_article1!$G$3:$G$962,[49]mensuel_section_article1!$B$3:$B$962,C474,[49]mensuel_section_article1!$C$3:$C$962,D474)</f>
        <v>#VALUE!</v>
      </c>
      <c r="H474" s="60">
        <v>0</v>
      </c>
      <c r="I474" s="60">
        <v>0</v>
      </c>
      <c r="J474" s="60">
        <v>0</v>
      </c>
      <c r="K474" s="60">
        <f t="shared" si="262"/>
        <v>0</v>
      </c>
      <c r="L474" s="61" t="e">
        <f>IF(F474&lt;&gt;0,K474/F474,0)</f>
        <v>#VALUE!</v>
      </c>
      <c r="M474" s="60" t="e">
        <f>+SUMIFS([51]section_article!$H$10:$H$936,[51]section_article!$C$10:$C$936,C474,[51]section_article!$D$10:$D$936,D474)</f>
        <v>#VALUE!</v>
      </c>
      <c r="N474" s="24" t="e">
        <f>+J474-M474</f>
        <v>#VALUE!</v>
      </c>
      <c r="O474" s="9"/>
      <c r="Q474" s="63"/>
      <c r="AK474" s="64"/>
      <c r="AL474" s="64"/>
      <c r="AM474" s="64"/>
      <c r="AN474" s="64"/>
      <c r="AO474" s="11">
        <v>1215119</v>
      </c>
      <c r="AP474" s="65" t="str">
        <f>CONCATENATE(AO474,D474)</f>
        <v>12151197</v>
      </c>
    </row>
    <row r="475" spans="1:42" s="1" customFormat="1" ht="27.75" customHeight="1" thickTop="1" thickBot="1" x14ac:dyDescent="0.3">
      <c r="A475" s="50" t="s">
        <v>20</v>
      </c>
      <c r="B475" s="50" t="s">
        <v>20</v>
      </c>
      <c r="C475" s="50" t="s">
        <v>20</v>
      </c>
      <c r="D475" s="51">
        <v>1215121</v>
      </c>
      <c r="E475" s="67" t="s">
        <v>85</v>
      </c>
      <c r="F475" s="68" t="e">
        <f>SUMIF($B$476:$B$478,"article",F476:F478)</f>
        <v>#VALUE!</v>
      </c>
      <c r="G475" s="68" t="e">
        <f>SUMIF($B$476:$B$478,"article",G476:G478)</f>
        <v>#VALUE!</v>
      </c>
      <c r="H475" s="68">
        <f>SUMIF($B$476:$B$478,"article",H476:H478)</f>
        <v>52200000</v>
      </c>
      <c r="I475" s="68">
        <v>52200000</v>
      </c>
      <c r="J475" s="68">
        <f>SUMIF($B$476:$B$478,"article",J476:J478)</f>
        <v>52200000</v>
      </c>
      <c r="K475" s="68">
        <f>SUMIF($B$476:$B$478,"article",K476:K478)</f>
        <v>0</v>
      </c>
      <c r="L475" s="69">
        <f>+J475/H475</f>
        <v>1</v>
      </c>
      <c r="M475" s="68"/>
      <c r="N475" s="68"/>
      <c r="O475" s="9"/>
      <c r="Q475" s="23"/>
      <c r="AK475" s="70"/>
      <c r="AL475" s="70"/>
      <c r="AM475" s="70"/>
      <c r="AN475" s="70"/>
      <c r="AO475" s="11">
        <v>1215121</v>
      </c>
    </row>
    <row r="476" spans="1:42" s="62" customFormat="1" ht="27.75" hidden="1" customHeight="1" thickTop="1" thickBot="1" x14ac:dyDescent="0.3">
      <c r="A476" s="56" t="s">
        <v>22</v>
      </c>
      <c r="B476" s="56" t="s">
        <v>22</v>
      </c>
      <c r="C476" s="57">
        <f>IF(A475="SECTION",D475,C475)</f>
        <v>1215121</v>
      </c>
      <c r="D476" s="58">
        <v>1</v>
      </c>
      <c r="E476" s="59" t="str">
        <f>IF(D476=1, "DEPENSES DE PERSONNEL",  +IF(D476=2,"DEPENSES DE SERVICES ET CHARGES DIVERSES", +IF(D476=3,"ACHATS DE BIENS DE CONSOMMATION ET PETITS MATERIELS",+IF(D476=4,"IMMOBILISATION CORPORELLE",+IF(D476=5,"IMMOBILISATION INCORPORELLE",+IF(D476=7,"SUBVENTIONS,QUOTES-PARTS ET CONTRIB.,ALLOC, INDEMNISATIONS",+IF(D476=8,"AMORTISSEMENT DE LA DETTE",+IF(D476=9,"AUTRES DEPENSES PUBLIQUES",0))))))))</f>
        <v>DEPENSES DE PERSONNEL</v>
      </c>
      <c r="F476" s="60" t="e">
        <f>SUMIFS([49]mensuel_section_article1!$E$3:$E$962,[49]mensuel_section_article1!$B$3:$B$962,C476,[49]mensuel_section_article1!$C$3:$C$962,D476)</f>
        <v>#VALUE!</v>
      </c>
      <c r="G476" s="60" t="e">
        <f>SUMIFS([49]mensuel_section_article1!$G$3:$G$962,[49]mensuel_section_article1!$B$3:$B$962,C476,[49]mensuel_section_article1!$C$3:$C$962,D476)</f>
        <v>#VALUE!</v>
      </c>
      <c r="H476" s="60">
        <v>0</v>
      </c>
      <c r="I476" s="60">
        <v>0</v>
      </c>
      <c r="J476" s="60">
        <v>0</v>
      </c>
      <c r="K476" s="60">
        <f t="shared" ref="K476:K478" si="263">+H476-J476</f>
        <v>0</v>
      </c>
      <c r="L476" s="61" t="e">
        <f>IF(F476&lt;&gt;0,K476/F476,0)</f>
        <v>#VALUE!</v>
      </c>
      <c r="M476" s="60" t="e">
        <f>+SUMIFS([51]section_article!$H$10:$H$936,[51]section_article!$C$10:$C$936,C476,[51]section_article!$D$10:$D$936,D476)</f>
        <v>#VALUE!</v>
      </c>
      <c r="N476" s="24" t="e">
        <f>+J476-M476</f>
        <v>#VALUE!</v>
      </c>
      <c r="O476" s="9"/>
      <c r="Q476" s="63"/>
      <c r="AK476" s="64"/>
      <c r="AL476" s="64"/>
      <c r="AM476" s="64"/>
      <c r="AN476" s="64"/>
      <c r="AO476" s="11">
        <v>1215121</v>
      </c>
      <c r="AP476" s="65" t="str">
        <f>CONCATENATE(AO476,D476)</f>
        <v>12151211</v>
      </c>
    </row>
    <row r="477" spans="1:42" s="62" customFormat="1" ht="27.75" customHeight="1" thickTop="1" thickBot="1" x14ac:dyDescent="0.3">
      <c r="A477" s="56" t="s">
        <v>22</v>
      </c>
      <c r="B477" s="56" t="s">
        <v>22</v>
      </c>
      <c r="C477" s="57">
        <f>IF(A475="SECTION",D475,C475)</f>
        <v>1215121</v>
      </c>
      <c r="D477" s="58">
        <v>2</v>
      </c>
      <c r="E477" s="59" t="str">
        <f>IF(D477=1, "DEPENSES DE PERSONNEL",  +IF(D477=2,"DEPENSES DE SERVICES ET CHARGES DIVERSES", +IF(D477=3,"ACHATS DE BIENS DE CONSOMMATION ET PETITS MATERIELS",+IF(D477=4,"IMMOBILISATION CORPORELLE",+IF(D477=5,"IMMOBILISATION INCORPORELLE",+IF(D477=7,"SUBVENTIONS,QUOTES-PARTS ET CONTRIB.,ALLOC, INDEMNISATIONS",+IF(D477=8,"AMORTISSEMENT DE LA DETTE",+IF(D477=9,"AUTRES DEPENSES PUBLIQUES",0))))))))</f>
        <v>DEPENSES DE SERVICES ET CHARGES DIVERSES</v>
      </c>
      <c r="F477" s="60" t="e">
        <f>SUMIFS([49]mensuel_section_article1!$E$3:$E$962,[49]mensuel_section_article1!$B$3:$B$962,C477,[49]mensuel_section_article1!$C$3:$C$962,D477)</f>
        <v>#VALUE!</v>
      </c>
      <c r="G477" s="60" t="e">
        <f>SUMIFS([49]mensuel_section_article1!$G$3:$G$962,[49]mensuel_section_article1!$B$3:$B$962,C477,[49]mensuel_section_article1!$C$3:$C$962,D477)</f>
        <v>#VALUE!</v>
      </c>
      <c r="H477" s="60">
        <v>52200000</v>
      </c>
      <c r="I477" s="60">
        <v>52200000</v>
      </c>
      <c r="J477" s="60">
        <v>52200000</v>
      </c>
      <c r="K477" s="60">
        <f t="shared" si="263"/>
        <v>0</v>
      </c>
      <c r="L477" s="61">
        <f>+J477/H477</f>
        <v>1</v>
      </c>
      <c r="M477" s="60"/>
      <c r="N477" s="24"/>
      <c r="O477" s="9"/>
      <c r="Q477" s="63"/>
      <c r="AK477" s="64"/>
      <c r="AL477" s="64"/>
      <c r="AM477" s="64"/>
      <c r="AN477" s="64"/>
      <c r="AO477" s="11">
        <v>1215121</v>
      </c>
      <c r="AP477" s="65" t="str">
        <f>CONCATENATE(AO477,D477)</f>
        <v>12151212</v>
      </c>
    </row>
    <row r="478" spans="1:42" s="62" customFormat="1" ht="27.75" hidden="1" customHeight="1" thickTop="1" thickBot="1" x14ac:dyDescent="0.3">
      <c r="A478" s="56" t="s">
        <v>22</v>
      </c>
      <c r="B478" s="56" t="s">
        <v>22</v>
      </c>
      <c r="C478" s="57">
        <f>IF(A476="SECTION",D476,C476)</f>
        <v>1215121</v>
      </c>
      <c r="D478" s="58">
        <v>7</v>
      </c>
      <c r="E478" s="59" t="str">
        <f>IF(D478=1, "DEPENSES DE PERSONNEL",  +IF(D478=2,"DEPENSES DE SERVICES ET CHARGES DIVERSES", +IF(D478=3,"ACHATS DE BIENS DE CONSOMMATION ET PETITS MATERIELS",+IF(D478=4,"IMMOBILISATION CORPORELLE",+IF(D478=5,"IMMOBILISATION INCORPORELLE",+IF(D478=7,"SUBVENTIONS,QUOTES-PARTS ET CONTRIB.,ALLOC, INDEMNISATIONS",+IF(D478=8,"AMORTISSEMENT DE LA DETTE",+IF(D478=9,"AUTRES DEPENSES PUBLIQUES",0))))))))</f>
        <v>SUBVENTIONS,QUOTES-PARTS ET CONTRIB.,ALLOC, INDEMNISATIONS</v>
      </c>
      <c r="F478" s="60" t="e">
        <f>SUMIFS([49]mensuel_section_article1!$E$3:$E$962,[49]mensuel_section_article1!$B$3:$B$962,C478,[49]mensuel_section_article1!$C$3:$C$962,D478)</f>
        <v>#VALUE!</v>
      </c>
      <c r="G478" s="60" t="e">
        <f>SUMIFS([49]mensuel_section_article1!$G$3:$G$962,[49]mensuel_section_article1!$B$3:$B$962,C478,[49]mensuel_section_article1!$C$3:$C$962,D478)</f>
        <v>#VALUE!</v>
      </c>
      <c r="H478" s="60">
        <v>0</v>
      </c>
      <c r="I478" s="60">
        <v>0</v>
      </c>
      <c r="J478" s="60">
        <v>0</v>
      </c>
      <c r="K478" s="60">
        <f t="shared" si="263"/>
        <v>0</v>
      </c>
      <c r="L478" s="61" t="e">
        <f>IF(F478&lt;&gt;0,K478/F478,0)</f>
        <v>#VALUE!</v>
      </c>
      <c r="M478" s="60" t="e">
        <f>+SUMIFS([51]section_article!$H$10:$H$936,[51]section_article!$C$10:$C$936,C478,[51]section_article!$D$10:$D$936,D478)</f>
        <v>#VALUE!</v>
      </c>
      <c r="N478" s="24" t="e">
        <f>+J478-M478</f>
        <v>#VALUE!</v>
      </c>
      <c r="O478" s="9"/>
      <c r="Q478" s="63"/>
      <c r="AK478" s="64"/>
      <c r="AL478" s="64"/>
      <c r="AM478" s="64"/>
      <c r="AN478" s="64"/>
      <c r="AO478" s="11">
        <v>1215121</v>
      </c>
      <c r="AP478" s="65" t="str">
        <f>CONCATENATE(AO478,D478)</f>
        <v>12151217</v>
      </c>
    </row>
    <row r="479" spans="1:42" s="1" customFormat="1" ht="27.75" customHeight="1" thickTop="1" thickBot="1" x14ac:dyDescent="0.3">
      <c r="A479" s="50" t="s">
        <v>20</v>
      </c>
      <c r="B479" s="50" t="s">
        <v>20</v>
      </c>
      <c r="C479" s="50" t="s">
        <v>20</v>
      </c>
      <c r="D479" s="51">
        <v>1215122</v>
      </c>
      <c r="E479" s="67" t="s">
        <v>86</v>
      </c>
      <c r="F479" s="68" t="e">
        <f>SUMIF($B$480:$B$482,"article",F480:F482)</f>
        <v>#VALUE!</v>
      </c>
      <c r="G479" s="68" t="e">
        <f>SUMIF($B$480:$B$482,"article",G480:G482)</f>
        <v>#VALUE!</v>
      </c>
      <c r="H479" s="68">
        <f>SUMIF($B$480:$B$482,"article",H480:H482)</f>
        <v>30000010.040000003</v>
      </c>
      <c r="I479" s="68">
        <v>30000010</v>
      </c>
      <c r="J479" s="68">
        <f>SUMIF($B$480:$B$482,"article",J480:J482)</f>
        <v>29778793.490000002</v>
      </c>
      <c r="K479" s="68">
        <f>SUMIF($B$480:$B$482,"article",K480:K482)</f>
        <v>221216.55000000261</v>
      </c>
      <c r="L479" s="69">
        <f>+J479/H479</f>
        <v>0.99262611746779261</v>
      </c>
      <c r="M479" s="68"/>
      <c r="N479" s="68"/>
      <c r="O479" s="9"/>
      <c r="Q479" s="23"/>
      <c r="AK479" s="70"/>
      <c r="AL479" s="70"/>
      <c r="AM479" s="70"/>
      <c r="AN479" s="70"/>
      <c r="AO479" s="11">
        <v>1215122</v>
      </c>
    </row>
    <row r="480" spans="1:42" s="62" customFormat="1" ht="27.75" customHeight="1" thickTop="1" thickBot="1" x14ac:dyDescent="0.3">
      <c r="A480" s="56" t="s">
        <v>22</v>
      </c>
      <c r="B480" s="56" t="s">
        <v>22</v>
      </c>
      <c r="C480" s="57">
        <f>IF(A479="SECTION",D479,C479)</f>
        <v>1215122</v>
      </c>
      <c r="D480" s="58">
        <v>1</v>
      </c>
      <c r="E480" s="59" t="str">
        <f>IF(D480=1, "DEPENSES DE PERSONNEL",  +IF(D480=2,"DEPENSES DE SERVICES ET CHARGES DIVERSES", +IF(D480=3,"ACHATS DE BIENS DE CONSOMMATION ET PETITS MATERIELS",+IF(D480=4,"IMMOBILISATION CORPORELLE",+IF(D480=5,"IMMOBILISATION INCORPORELLE",+IF(D480=7,"SUBVENTIONS,QUOTES-PARTS ET CONTRIB.,ALLOC, INDEMNISATIONS",+IF(D480=8,"AMORTISSEMENT DE LA DETTE",+IF(D480=9,"AUTRES DEPENSES PUBLIQUES",0))))))))</f>
        <v>DEPENSES DE PERSONNEL</v>
      </c>
      <c r="F480" s="60" t="e">
        <f>SUMIFS([49]mensuel_section_article1!$E$3:$E$962,[49]mensuel_section_article1!$B$3:$B$962,C480,[49]mensuel_section_article1!$C$3:$C$962,D480)</f>
        <v>#VALUE!</v>
      </c>
      <c r="G480" s="60" t="e">
        <f>SUMIFS([49]mensuel_section_article1!$G$3:$G$962,[49]mensuel_section_article1!$B$3:$B$962,C480,[49]mensuel_section_article1!$C$3:$C$962,D480)</f>
        <v>#VALUE!</v>
      </c>
      <c r="H480" s="60">
        <v>19200010.000000004</v>
      </c>
      <c r="I480" s="60">
        <v>19200010</v>
      </c>
      <c r="J480" s="60">
        <v>19198511</v>
      </c>
      <c r="K480" s="60">
        <f t="shared" ref="K480:K482" si="264">+H480-J480</f>
        <v>1499.0000000037253</v>
      </c>
      <c r="L480" s="61">
        <f>+J480/H480</f>
        <v>0.99992192712399608</v>
      </c>
      <c r="M480" s="60"/>
      <c r="N480" s="24"/>
      <c r="O480" s="9"/>
      <c r="Q480" s="63"/>
      <c r="AK480" s="64"/>
      <c r="AL480" s="64"/>
      <c r="AM480" s="64"/>
      <c r="AN480" s="64"/>
      <c r="AO480" s="11">
        <v>1215122</v>
      </c>
      <c r="AP480" s="65" t="str">
        <f>CONCATENATE(AO480,D480)</f>
        <v>12151221</v>
      </c>
    </row>
    <row r="481" spans="1:42" s="62" customFormat="1" ht="27.75" customHeight="1" thickTop="1" thickBot="1" x14ac:dyDescent="0.3">
      <c r="A481" s="56" t="s">
        <v>22</v>
      </c>
      <c r="B481" s="56" t="s">
        <v>22</v>
      </c>
      <c r="C481" s="57">
        <f>IF(A479="SECTION",D479,C479)</f>
        <v>1215122</v>
      </c>
      <c r="D481" s="58">
        <v>2</v>
      </c>
      <c r="E481" s="59" t="str">
        <f>IF(D481=1, "DEPENSES DE PERSONNEL",  +IF(D481=2,"DEPENSES DE SERVICES ET CHARGES DIVERSES", +IF(D481=3,"ACHATS DE BIENS DE CONSOMMATION ET PETITS MATERIELS",+IF(D481=4,"IMMOBILISATION CORPORELLE",+IF(D481=5,"IMMOBILISATION INCORPORELLE",+IF(D481=7,"SUBVENTIONS,QUOTES-PARTS ET CONTRIB.,ALLOC, INDEMNISATIONS",+IF(D481=8,"AMORTISSEMENT DE LA DETTE",+IF(D481=9,"AUTRES DEPENSES PUBLIQUES",0))))))))</f>
        <v>DEPENSES DE SERVICES ET CHARGES DIVERSES</v>
      </c>
      <c r="F481" s="60" t="e">
        <f>SUMIFS([49]mensuel_section_article1!$E$3:$E$962,[49]mensuel_section_article1!$B$3:$B$962,C481,[49]mensuel_section_article1!$C$3:$C$962,D481)</f>
        <v>#VALUE!</v>
      </c>
      <c r="G481" s="60" t="e">
        <f>SUMIFS([49]mensuel_section_article1!$G$3:$G$962,[49]mensuel_section_article1!$B$3:$B$962,C481,[49]mensuel_section_article1!$C$3:$C$962,D481)</f>
        <v>#VALUE!</v>
      </c>
      <c r="H481" s="60">
        <v>10800000.039999999</v>
      </c>
      <c r="I481" s="60">
        <v>10800000</v>
      </c>
      <c r="J481" s="60">
        <v>10580282.49</v>
      </c>
      <c r="K481" s="60">
        <f t="shared" si="264"/>
        <v>219717.54999999888</v>
      </c>
      <c r="L481" s="61">
        <f>+J481/H481</f>
        <v>0.97965578248275642</v>
      </c>
      <c r="M481" s="60"/>
      <c r="N481" s="24"/>
      <c r="O481" s="9"/>
      <c r="Q481" s="63"/>
      <c r="AK481" s="64"/>
      <c r="AL481" s="64"/>
      <c r="AM481" s="64"/>
      <c r="AN481" s="64"/>
      <c r="AO481" s="11">
        <v>1215122</v>
      </c>
      <c r="AP481" s="65" t="str">
        <f>CONCATENATE(AO481,D481)</f>
        <v>12151222</v>
      </c>
    </row>
    <row r="482" spans="1:42" s="62" customFormat="1" ht="27.75" hidden="1" customHeight="1" thickTop="1" thickBot="1" x14ac:dyDescent="0.3">
      <c r="A482" s="56" t="s">
        <v>22</v>
      </c>
      <c r="B482" s="56" t="s">
        <v>22</v>
      </c>
      <c r="C482" s="57">
        <f>IF(A480="SECTION",D480,C480)</f>
        <v>1215122</v>
      </c>
      <c r="D482" s="58">
        <v>7</v>
      </c>
      <c r="E482" s="59" t="str">
        <f>IF(D482=1, "DEPENSES DE PERSONNEL",  +IF(D482=2,"DEPENSES DE SERVICES ET CHARGES DIVERSES", +IF(D482=3,"ACHATS DE BIENS DE CONSOMMATION ET PETITS MATERIELS",+IF(D482=4,"IMMOBILISATION CORPORELLE",+IF(D482=5,"IMMOBILISATION INCORPORELLE",+IF(D482=7,"SUBVENTIONS,QUOTES-PARTS ET CONTRIB.,ALLOC, INDEMNISATIONS",+IF(D482=8,"AMORTISSEMENT DE LA DETTE",+IF(D482=9,"AUTRES DEPENSES PUBLIQUES",0))))))))</f>
        <v>SUBVENTIONS,QUOTES-PARTS ET CONTRIB.,ALLOC, INDEMNISATIONS</v>
      </c>
      <c r="F482" s="60" t="e">
        <f>SUMIFS([49]mensuel_section_article1!$E$3:$E$962,[49]mensuel_section_article1!$B$3:$B$962,C482,[49]mensuel_section_article1!$C$3:$C$962,D482)</f>
        <v>#VALUE!</v>
      </c>
      <c r="G482" s="60" t="e">
        <f>SUMIFS([49]mensuel_section_article1!$G$3:$G$962,[49]mensuel_section_article1!$B$3:$B$962,C482,[49]mensuel_section_article1!$C$3:$C$962,D482)</f>
        <v>#VALUE!</v>
      </c>
      <c r="H482" s="60">
        <v>0</v>
      </c>
      <c r="I482" s="60">
        <v>0</v>
      </c>
      <c r="J482" s="60">
        <v>0</v>
      </c>
      <c r="K482" s="60">
        <f t="shared" si="264"/>
        <v>0</v>
      </c>
      <c r="L482" s="61" t="e">
        <f>IF(F482&lt;&gt;0,K482/F482,0)</f>
        <v>#VALUE!</v>
      </c>
      <c r="M482" s="60" t="e">
        <f>+SUMIFS([51]section_article!$H$10:$H$936,[51]section_article!$C$10:$C$936,C482,[51]section_article!$D$10:$D$936,D482)</f>
        <v>#VALUE!</v>
      </c>
      <c r="N482" s="24" t="e">
        <f>+J482-M482</f>
        <v>#VALUE!</v>
      </c>
      <c r="O482" s="9"/>
      <c r="Q482" s="63"/>
      <c r="AK482" s="64"/>
      <c r="AL482" s="64"/>
      <c r="AM482" s="64"/>
      <c r="AN482" s="64"/>
      <c r="AO482" s="11">
        <v>1215122</v>
      </c>
      <c r="AP482" s="65" t="str">
        <f>CONCATENATE(AO482,D482)</f>
        <v>12151227</v>
      </c>
    </row>
    <row r="483" spans="1:42" s="1" customFormat="1" ht="27.75" customHeight="1" thickTop="1" thickBot="1" x14ac:dyDescent="0.3">
      <c r="A483" s="50" t="s">
        <v>20</v>
      </c>
      <c r="B483" s="50" t="s">
        <v>20</v>
      </c>
      <c r="C483" s="50" t="s">
        <v>20</v>
      </c>
      <c r="D483" s="51">
        <v>1215123</v>
      </c>
      <c r="E483" s="67" t="s">
        <v>87</v>
      </c>
      <c r="F483" s="68" t="e">
        <f>SUMIF($B$484:$B$484,"article",F484:F484)</f>
        <v>#VALUE!</v>
      </c>
      <c r="G483" s="68" t="e">
        <f>SUMIF($B$484:$B$484,"article",G484:G484)</f>
        <v>#VALUE!</v>
      </c>
      <c r="H483" s="68">
        <f>SUMIF($B$484:$B$484,"article",H484:H484)</f>
        <v>17231700.563999999</v>
      </c>
      <c r="I483" s="68">
        <v>7931700.5999999996</v>
      </c>
      <c r="J483" s="68">
        <f>SUMIF($B$484:$B$484,"article",J484:J484)</f>
        <v>7903818.75</v>
      </c>
      <c r="K483" s="68">
        <f>SUMIF($B$484:$B$484,"article",K484:K484)</f>
        <v>9327881.8139999993</v>
      </c>
      <c r="L483" s="69">
        <f t="shared" ref="L483:L488" si="265">+J483/H483</f>
        <v>0.45867897487218662</v>
      </c>
      <c r="M483" s="68"/>
      <c r="N483" s="68"/>
      <c r="O483" s="9"/>
      <c r="Q483" s="23"/>
      <c r="AK483" s="70"/>
      <c r="AL483" s="70"/>
      <c r="AM483" s="70"/>
      <c r="AN483" s="70"/>
      <c r="AO483" s="11">
        <v>1215123</v>
      </c>
      <c r="AP483" s="65"/>
    </row>
    <row r="484" spans="1:42" s="62" customFormat="1" ht="27.75" customHeight="1" thickTop="1" thickBot="1" x14ac:dyDescent="0.3">
      <c r="A484" s="56" t="s">
        <v>22</v>
      </c>
      <c r="B484" s="56" t="s">
        <v>22</v>
      </c>
      <c r="C484" s="57">
        <f>IF(A483="SECTION",D483,C483)</f>
        <v>1215123</v>
      </c>
      <c r="D484" s="58">
        <v>7</v>
      </c>
      <c r="E484" s="59" t="str">
        <f>IF(D484=1, "DEPENSES DE PERSONNEL",  +IF(D484=2,"DEPENSES DE SERVICES ET CHARGES DIVERSES", +IF(D484=3,"ACHATS DE BIENS DE CONSOMMATION ET PETITS MATERIELS",+IF(D484=4,"IMMOBILISATION CORPORELLE",+IF(D484=5,"IMMOBILISATION INCORPORELLE",+IF(D484=7,"SUBVENTIONS,QUOTES-PARTS ET CONTRIB.,ALLOC, INDEMNISATIONS",+IF(D484=8,"AMORTISSEMENT DE LA DETTE",+IF(D484=9,"AUTRES DEPENSES PUBLIQUES",0))))))))</f>
        <v>SUBVENTIONS,QUOTES-PARTS ET CONTRIB.,ALLOC, INDEMNISATIONS</v>
      </c>
      <c r="F484" s="60" t="e">
        <f>SUMIFS([49]mensuel_section_article1!$E$3:$E$962,[49]mensuel_section_article1!$B$3:$B$962,C484,[49]mensuel_section_article1!$C$3:$C$962,D484)</f>
        <v>#VALUE!</v>
      </c>
      <c r="G484" s="60" t="e">
        <f>SUMIFS([49]mensuel_section_article1!$G$3:$G$962,[49]mensuel_section_article1!$B$3:$B$962,C484,[49]mensuel_section_article1!$C$3:$C$962,D484)</f>
        <v>#VALUE!</v>
      </c>
      <c r="H484" s="60">
        <v>17231700.563999999</v>
      </c>
      <c r="I484" s="60">
        <v>7931700.5999999996</v>
      </c>
      <c r="J484" s="60">
        <v>7903818.75</v>
      </c>
      <c r="K484" s="60">
        <f>+H484-J484</f>
        <v>9327881.8139999993</v>
      </c>
      <c r="L484" s="61">
        <f t="shared" si="265"/>
        <v>0.45867897487218662</v>
      </c>
      <c r="M484" s="60"/>
      <c r="N484" s="24"/>
      <c r="O484" s="9"/>
      <c r="Q484" s="63"/>
      <c r="AK484" s="64"/>
      <c r="AL484" s="64"/>
      <c r="AM484" s="64"/>
      <c r="AN484" s="64"/>
      <c r="AO484" s="11">
        <v>1215123</v>
      </c>
      <c r="AP484" s="65" t="str">
        <f>CONCATENATE(AO484,D484)</f>
        <v>12151237</v>
      </c>
    </row>
    <row r="485" spans="1:42" s="49" customFormat="1" ht="27.75" customHeight="1" thickTop="1" x14ac:dyDescent="0.25">
      <c r="A485" s="43" t="s">
        <v>19</v>
      </c>
      <c r="B485" s="43" t="s">
        <v>19</v>
      </c>
      <c r="C485" s="43" t="s">
        <v>19</v>
      </c>
      <c r="D485" s="44">
        <v>12152</v>
      </c>
      <c r="E485" s="45" t="str">
        <f>VLOOKUP(D485,[49]INST!$A$1:$B$626,2,FALSE)</f>
        <v>SERVICES EXTERNES</v>
      </c>
      <c r="F485" s="46" t="e">
        <f>SUMIF($B$485:$B$497,"section",F485:F497)</f>
        <v>#VALUE!</v>
      </c>
      <c r="G485" s="46" t="e">
        <f>SUMIF($B$485:$B$497,"section",G485:G497)</f>
        <v>#VALUE!</v>
      </c>
      <c r="H485" s="46">
        <f>SUMIF($B$485:$B$497,"section",H485:H497)</f>
        <v>61935479.438000001</v>
      </c>
      <c r="I485" s="46">
        <v>61935479.5</v>
      </c>
      <c r="J485" s="46">
        <f>SUMIF($B$485:$B$497,"section",J485:J497)</f>
        <v>49759138.510000005</v>
      </c>
      <c r="K485" s="46">
        <f>SUMIF($B$485:$B$497,"section",K485:K497)</f>
        <v>12176340.928000005</v>
      </c>
      <c r="L485" s="47">
        <f t="shared" si="265"/>
        <v>0.80340281469542796</v>
      </c>
      <c r="M485" s="46"/>
      <c r="N485" s="46"/>
      <c r="O485" s="48"/>
      <c r="AO485" s="11"/>
    </row>
    <row r="486" spans="1:42" s="1" customFormat="1" ht="27.75" customHeight="1" thickBot="1" x14ac:dyDescent="0.3">
      <c r="A486" s="50" t="s">
        <v>20</v>
      </c>
      <c r="B486" s="50" t="s">
        <v>20</v>
      </c>
      <c r="C486" s="50" t="s">
        <v>20</v>
      </c>
      <c r="D486" s="51">
        <v>1215214</v>
      </c>
      <c r="E486" s="67" t="s">
        <v>88</v>
      </c>
      <c r="F486" s="68" t="e">
        <f>SUMIF($B$487:$B$493,"article",F487:F493)</f>
        <v>#VALUE!</v>
      </c>
      <c r="G486" s="68" t="e">
        <f>SUMIF($B$487:$B$493,"article",G487:G493)</f>
        <v>#VALUE!</v>
      </c>
      <c r="H486" s="68">
        <f>SUMIF($B$487:$B$493,"article",H487:H493)</f>
        <v>33870116.438000001</v>
      </c>
      <c r="I486" s="68">
        <v>33870116.5</v>
      </c>
      <c r="J486" s="68">
        <f>SUMIF($B$487:$B$493,"article",J487:J493)</f>
        <v>26955054.600000001</v>
      </c>
      <c r="K486" s="68">
        <f>SUMIF($B$487:$B$493,"article",K487:K493)</f>
        <v>6915061.8380000032</v>
      </c>
      <c r="L486" s="69">
        <f t="shared" si="265"/>
        <v>0.79583590004309035</v>
      </c>
      <c r="M486" s="68"/>
      <c r="N486" s="68"/>
      <c r="O486" s="9"/>
      <c r="Q486" s="23"/>
      <c r="AK486" s="70"/>
      <c r="AL486" s="70"/>
      <c r="AM486" s="70"/>
      <c r="AN486" s="70"/>
      <c r="AO486" s="11">
        <v>1215214</v>
      </c>
    </row>
    <row r="487" spans="1:42" s="62" customFormat="1" ht="27.75" customHeight="1" thickTop="1" thickBot="1" x14ac:dyDescent="0.3">
      <c r="A487" s="56" t="s">
        <v>22</v>
      </c>
      <c r="B487" s="56" t="s">
        <v>22</v>
      </c>
      <c r="C487" s="57">
        <f t="shared" ref="C487:C496" si="266">IF(A486="SECTION",D486,C486)</f>
        <v>1215214</v>
      </c>
      <c r="D487" s="58">
        <v>1</v>
      </c>
      <c r="E487" s="59" t="str">
        <f t="shared" ref="E487:E493" si="267">IF(D487=1, "DEPENSES DE PERSONNEL",  +IF(D487=2,"DEPENSES DE SERVICES ET CHARGES DIVERSES", +IF(D487=3,"ACHATS DE BIENS DE CONSOMMATION ET PETITS MATERIELS",+IF(D487=4,"IMMOBILISATION CORPORELLE",+IF(D487=5,"IMMOBILISATION INCORPORELLE",+IF(D487=7,"SUBVENTIONS,QUOTES-PARTS ET CONTRIB.,ALLOC, INDEMNISATIONS",+IF(D487=8,"AMORTISSEMENT DE LA DETTE",+IF(D487=9,"AUTRES DEPENSES PUBLIQUES",0))))))))</f>
        <v>DEPENSES DE PERSONNEL</v>
      </c>
      <c r="F487" s="60" t="e">
        <f>SUMIFS([49]mensuel_section_article1!$E$3:$E$962,[49]mensuel_section_article1!$B$3:$B$962,C487,[49]mensuel_section_article1!$C$3:$C$962,D487)</f>
        <v>#VALUE!</v>
      </c>
      <c r="G487" s="60" t="e">
        <f>SUMIFS([49]mensuel_section_article1!$G$3:$G$962,[49]mensuel_section_article1!$B$3:$B$962,C487,[49]mensuel_section_article1!$C$3:$C$962,D487)</f>
        <v>#VALUE!</v>
      </c>
      <c r="H487" s="60">
        <v>13977956.08</v>
      </c>
      <c r="I487" s="60">
        <v>13977956.100000001</v>
      </c>
      <c r="J487" s="60">
        <v>13239550.01</v>
      </c>
      <c r="K487" s="60">
        <f t="shared" ref="K487:K493" si="268">+H487-J487</f>
        <v>738406.0700000003</v>
      </c>
      <c r="L487" s="61">
        <f t="shared" si="265"/>
        <v>0.94717353053809283</v>
      </c>
      <c r="M487" s="60"/>
      <c r="N487" s="24"/>
      <c r="O487" s="9"/>
      <c r="Q487" s="63"/>
      <c r="AK487" s="64"/>
      <c r="AL487" s="64"/>
      <c r="AM487" s="64"/>
      <c r="AN487" s="64"/>
      <c r="AO487" s="11">
        <v>1215214</v>
      </c>
      <c r="AP487" s="65" t="str">
        <f t="shared" ref="AP487:AP493" si="269">CONCATENATE(AO487,D487)</f>
        <v>12152141</v>
      </c>
    </row>
    <row r="488" spans="1:42" s="62" customFormat="1" ht="27.75" customHeight="1" thickTop="1" thickBot="1" x14ac:dyDescent="0.3">
      <c r="A488" s="56" t="s">
        <v>22</v>
      </c>
      <c r="B488" s="56" t="s">
        <v>22</v>
      </c>
      <c r="C488" s="57">
        <f t="shared" si="266"/>
        <v>1215214</v>
      </c>
      <c r="D488" s="58">
        <v>2</v>
      </c>
      <c r="E488" s="59" t="str">
        <f t="shared" si="267"/>
        <v>DEPENSES DE SERVICES ET CHARGES DIVERSES</v>
      </c>
      <c r="F488" s="60" t="e">
        <f>SUMIFS([49]mensuel_section_article1!$E$3:$E$962,[49]mensuel_section_article1!$B$3:$B$962,C488,[49]mensuel_section_article1!$C$3:$C$962,D488)</f>
        <v>#VALUE!</v>
      </c>
      <c r="G488" s="60" t="e">
        <f>SUMIFS([49]mensuel_section_article1!$G$3:$G$962,[49]mensuel_section_article1!$B$3:$B$962,C488,[49]mensuel_section_article1!$C$3:$C$962,D488)</f>
        <v>#VALUE!</v>
      </c>
      <c r="H488" s="60">
        <v>19892160.358000003</v>
      </c>
      <c r="I488" s="60">
        <v>19892160.399999999</v>
      </c>
      <c r="J488" s="60">
        <v>13715504.59</v>
      </c>
      <c r="K488" s="60">
        <f t="shared" si="268"/>
        <v>6176655.768000003</v>
      </c>
      <c r="L488" s="61">
        <f t="shared" si="265"/>
        <v>0.68949296321573506</v>
      </c>
      <c r="M488" s="60"/>
      <c r="N488" s="24"/>
      <c r="O488" s="9"/>
      <c r="Q488" s="63"/>
      <c r="AK488" s="64"/>
      <c r="AL488" s="64"/>
      <c r="AM488" s="64"/>
      <c r="AN488" s="64"/>
      <c r="AO488" s="11">
        <v>1215214</v>
      </c>
      <c r="AP488" s="65" t="str">
        <f t="shared" si="269"/>
        <v>12152142</v>
      </c>
    </row>
    <row r="489" spans="1:42" s="62" customFormat="1" ht="27.75" hidden="1" customHeight="1" thickTop="1" thickBot="1" x14ac:dyDescent="0.3">
      <c r="A489" s="56" t="s">
        <v>22</v>
      </c>
      <c r="B489" s="56" t="s">
        <v>22</v>
      </c>
      <c r="C489" s="57">
        <f t="shared" si="266"/>
        <v>1215214</v>
      </c>
      <c r="D489" s="58">
        <v>3</v>
      </c>
      <c r="E489" s="59" t="str">
        <f t="shared" si="267"/>
        <v>ACHATS DE BIENS DE CONSOMMATION ET PETITS MATERIELS</v>
      </c>
      <c r="F489" s="60" t="e">
        <f>SUMIFS([49]mensuel_section_article1!$E$3:$E$962,[49]mensuel_section_article1!$B$3:$B$962,C489,[49]mensuel_section_article1!$C$3:$C$962,D489)</f>
        <v>#VALUE!</v>
      </c>
      <c r="G489" s="60" t="e">
        <f>SUMIFS([49]mensuel_section_article1!$G$3:$G$962,[49]mensuel_section_article1!$B$3:$B$962,C489,[49]mensuel_section_article1!$C$3:$C$962,D489)</f>
        <v>#VALUE!</v>
      </c>
      <c r="H489" s="60">
        <v>0</v>
      </c>
      <c r="I489" s="60">
        <v>0</v>
      </c>
      <c r="J489" s="60">
        <v>0</v>
      </c>
      <c r="K489" s="60">
        <f t="shared" si="268"/>
        <v>0</v>
      </c>
      <c r="L489" s="61" t="e">
        <f>IF(F489&lt;&gt;0,K489/F489,0)</f>
        <v>#VALUE!</v>
      </c>
      <c r="M489" s="60" t="e">
        <f>+SUMIFS([51]section_article!$H$10:$H$936,[51]section_article!$C$10:$C$936,C489,[51]section_article!$D$10:$D$936,D489)</f>
        <v>#VALUE!</v>
      </c>
      <c r="N489" s="24" t="e">
        <f t="shared" ref="N487:N493" si="270">+J489-M489</f>
        <v>#VALUE!</v>
      </c>
      <c r="O489" s="9"/>
      <c r="Q489" s="63"/>
      <c r="AK489" s="64"/>
      <c r="AL489" s="64"/>
      <c r="AM489" s="64"/>
      <c r="AN489" s="64"/>
      <c r="AO489" s="11">
        <v>1215214</v>
      </c>
      <c r="AP489" s="65" t="str">
        <f t="shared" si="269"/>
        <v>12152143</v>
      </c>
    </row>
    <row r="490" spans="1:42" s="62" customFormat="1" ht="27.75" hidden="1" customHeight="1" thickTop="1" thickBot="1" x14ac:dyDescent="0.3">
      <c r="A490" s="56" t="s">
        <v>22</v>
      </c>
      <c r="B490" s="56" t="s">
        <v>22</v>
      </c>
      <c r="C490" s="57">
        <f t="shared" si="266"/>
        <v>1215214</v>
      </c>
      <c r="D490" s="58">
        <v>4</v>
      </c>
      <c r="E490" s="59" t="str">
        <f t="shared" si="267"/>
        <v>IMMOBILISATION CORPORELLE</v>
      </c>
      <c r="F490" s="60" t="e">
        <f>SUMIFS([49]mensuel_section_article1!$E$3:$E$962,[49]mensuel_section_article1!$B$3:$B$962,C490,[49]mensuel_section_article1!$C$3:$C$962,D490)</f>
        <v>#VALUE!</v>
      </c>
      <c r="G490" s="60" t="e">
        <f>SUMIFS([49]mensuel_section_article1!$G$3:$G$962,[49]mensuel_section_article1!$B$3:$B$962,C490,[49]mensuel_section_article1!$C$3:$C$962,D490)</f>
        <v>#VALUE!</v>
      </c>
      <c r="H490" s="60">
        <v>0</v>
      </c>
      <c r="I490" s="60">
        <v>0</v>
      </c>
      <c r="J490" s="60">
        <v>0</v>
      </c>
      <c r="K490" s="60">
        <f t="shared" si="268"/>
        <v>0</v>
      </c>
      <c r="L490" s="61" t="e">
        <f>IF(F490&lt;&gt;0,K490/F490,0)</f>
        <v>#VALUE!</v>
      </c>
      <c r="M490" s="60" t="e">
        <f>+SUMIFS([51]section_article!$H$10:$H$936,[51]section_article!$C$10:$C$936,C490,[51]section_article!$D$10:$D$936,D490)</f>
        <v>#VALUE!</v>
      </c>
      <c r="N490" s="24" t="e">
        <f t="shared" si="270"/>
        <v>#VALUE!</v>
      </c>
      <c r="O490" s="9"/>
      <c r="Q490" s="63"/>
      <c r="AK490" s="64"/>
      <c r="AL490" s="64"/>
      <c r="AM490" s="64"/>
      <c r="AN490" s="64"/>
      <c r="AO490" s="11">
        <v>1215214</v>
      </c>
      <c r="AP490" s="65" t="str">
        <f t="shared" si="269"/>
        <v>12152144</v>
      </c>
    </row>
    <row r="491" spans="1:42" s="62" customFormat="1" ht="27.75" hidden="1" customHeight="1" thickTop="1" thickBot="1" x14ac:dyDescent="0.3">
      <c r="A491" s="56" t="s">
        <v>22</v>
      </c>
      <c r="B491" s="56" t="s">
        <v>22</v>
      </c>
      <c r="C491" s="57">
        <f t="shared" si="266"/>
        <v>1215214</v>
      </c>
      <c r="D491" s="96">
        <v>5</v>
      </c>
      <c r="E491" s="59" t="str">
        <f t="shared" si="267"/>
        <v>IMMOBILISATION INCORPORELLE</v>
      </c>
      <c r="F491" s="60" t="e">
        <f>SUMIFS([49]mensuel_section_article1!$E$3:$E$962,[49]mensuel_section_article1!$B$3:$B$962,C491,[49]mensuel_section_article1!$C$3:$C$962,D491)</f>
        <v>#VALUE!</v>
      </c>
      <c r="G491" s="60" t="e">
        <f>SUMIFS([49]mensuel_section_article1!$G$3:$G$962,[49]mensuel_section_article1!$B$3:$B$962,C491,[49]mensuel_section_article1!$C$3:$C$962,D491)</f>
        <v>#VALUE!</v>
      </c>
      <c r="H491" s="60">
        <v>0</v>
      </c>
      <c r="I491" s="60">
        <v>0</v>
      </c>
      <c r="J491" s="60">
        <v>0</v>
      </c>
      <c r="K491" s="60">
        <f t="shared" si="268"/>
        <v>0</v>
      </c>
      <c r="L491" s="61" t="e">
        <f>IF(F491&lt;&gt;0,K491/F491,0)</f>
        <v>#VALUE!</v>
      </c>
      <c r="M491" s="60" t="e">
        <f>+SUMIFS([51]section_article!$H$10:$H$936,[51]section_article!$C$10:$C$936,C491,[51]section_article!$D$10:$D$936,D491)</f>
        <v>#VALUE!</v>
      </c>
      <c r="N491" s="24" t="e">
        <f t="shared" si="270"/>
        <v>#VALUE!</v>
      </c>
      <c r="O491" s="9"/>
      <c r="Q491" s="63"/>
      <c r="AK491" s="97"/>
      <c r="AL491" s="97"/>
      <c r="AM491" s="97"/>
      <c r="AN491" s="97"/>
      <c r="AO491" s="11">
        <v>1215214</v>
      </c>
      <c r="AP491" s="65" t="str">
        <f t="shared" si="269"/>
        <v>12152145</v>
      </c>
    </row>
    <row r="492" spans="1:42" s="62" customFormat="1" ht="27.75" hidden="1" customHeight="1" thickTop="1" thickBot="1" x14ac:dyDescent="0.3">
      <c r="A492" s="56" t="s">
        <v>22</v>
      </c>
      <c r="B492" s="56" t="s">
        <v>22</v>
      </c>
      <c r="C492" s="57">
        <f t="shared" si="266"/>
        <v>1215214</v>
      </c>
      <c r="D492" s="58">
        <v>7</v>
      </c>
      <c r="E492" s="59" t="str">
        <f t="shared" si="267"/>
        <v>SUBVENTIONS,QUOTES-PARTS ET CONTRIB.,ALLOC, INDEMNISATIONS</v>
      </c>
      <c r="F492" s="60" t="e">
        <f>SUMIFS([49]mensuel_section_article1!$E$3:$E$962,[49]mensuel_section_article1!$B$3:$B$962,C492,[49]mensuel_section_article1!$C$3:$C$962,D492)</f>
        <v>#VALUE!</v>
      </c>
      <c r="G492" s="60" t="e">
        <f>SUMIFS([49]mensuel_section_article1!$G$3:$G$962,[49]mensuel_section_article1!$B$3:$B$962,C492,[49]mensuel_section_article1!$C$3:$C$962,D492)</f>
        <v>#VALUE!</v>
      </c>
      <c r="H492" s="60">
        <v>0</v>
      </c>
      <c r="I492" s="60">
        <v>0</v>
      </c>
      <c r="J492" s="60">
        <v>0</v>
      </c>
      <c r="K492" s="60">
        <f t="shared" si="268"/>
        <v>0</v>
      </c>
      <c r="L492" s="61" t="e">
        <f>IF(F492&lt;&gt;0,K492/F492,0)</f>
        <v>#VALUE!</v>
      </c>
      <c r="M492" s="60" t="e">
        <f>+SUMIFS([51]section_article!$H$10:$H$936,[51]section_article!$C$10:$C$936,C492,[51]section_article!$D$10:$D$936,D492)</f>
        <v>#VALUE!</v>
      </c>
      <c r="N492" s="24" t="e">
        <f t="shared" si="270"/>
        <v>#VALUE!</v>
      </c>
      <c r="O492" s="9"/>
      <c r="Q492" s="63"/>
      <c r="AK492" s="64"/>
      <c r="AL492" s="64"/>
      <c r="AM492" s="64"/>
      <c r="AN492" s="64"/>
      <c r="AO492" s="11">
        <v>1215214</v>
      </c>
      <c r="AP492" s="65" t="str">
        <f t="shared" si="269"/>
        <v>12152147</v>
      </c>
    </row>
    <row r="493" spans="1:42" s="62" customFormat="1" ht="27.75" hidden="1" customHeight="1" thickTop="1" thickBot="1" x14ac:dyDescent="0.3">
      <c r="A493" s="56" t="s">
        <v>22</v>
      </c>
      <c r="B493" s="56" t="s">
        <v>22</v>
      </c>
      <c r="C493" s="57">
        <f t="shared" si="266"/>
        <v>1215214</v>
      </c>
      <c r="D493" s="58">
        <v>9</v>
      </c>
      <c r="E493" s="59" t="str">
        <f t="shared" si="267"/>
        <v>AUTRES DEPENSES PUBLIQUES</v>
      </c>
      <c r="F493" s="60" t="e">
        <f>SUMIFS([49]mensuel_section_article1!$E$3:$E$962,[49]mensuel_section_article1!$B$3:$B$962,C493,[49]mensuel_section_article1!$C$3:$C$962,D493)</f>
        <v>#VALUE!</v>
      </c>
      <c r="G493" s="60" t="e">
        <f>SUMIFS([49]mensuel_section_article1!$G$3:$G$962,[49]mensuel_section_article1!$B$3:$B$962,C493,[49]mensuel_section_article1!$C$3:$C$962,D493)</f>
        <v>#VALUE!</v>
      </c>
      <c r="H493" s="60">
        <v>0</v>
      </c>
      <c r="I493" s="60">
        <v>0</v>
      </c>
      <c r="J493" s="60">
        <v>0</v>
      </c>
      <c r="K493" s="60">
        <f t="shared" si="268"/>
        <v>0</v>
      </c>
      <c r="L493" s="61" t="e">
        <f>IF(F493&lt;&gt;0,K493/F493,0)</f>
        <v>#VALUE!</v>
      </c>
      <c r="M493" s="60" t="e">
        <f>+SUMIFS([51]section_article!$H$10:$H$936,[51]section_article!$C$10:$C$936,C493,[51]section_article!$D$10:$D$936,D493)</f>
        <v>#VALUE!</v>
      </c>
      <c r="N493" s="24" t="e">
        <f t="shared" si="270"/>
        <v>#VALUE!</v>
      </c>
      <c r="O493" s="9"/>
      <c r="Q493" s="63"/>
      <c r="AK493" s="64"/>
      <c r="AL493" s="64"/>
      <c r="AM493" s="64"/>
      <c r="AN493" s="64"/>
      <c r="AO493" s="11">
        <v>1215214</v>
      </c>
      <c r="AP493" s="65" t="str">
        <f t="shared" si="269"/>
        <v>12152149</v>
      </c>
    </row>
    <row r="494" spans="1:42" s="1" customFormat="1" ht="27.75" customHeight="1" thickTop="1" thickBot="1" x14ac:dyDescent="0.3">
      <c r="A494" s="50" t="s">
        <v>20</v>
      </c>
      <c r="B494" s="50" t="s">
        <v>20</v>
      </c>
      <c r="C494" s="50" t="s">
        <v>20</v>
      </c>
      <c r="D494" s="51">
        <v>1215220</v>
      </c>
      <c r="E494" s="67" t="s">
        <v>89</v>
      </c>
      <c r="F494" s="68" t="e">
        <f>SUMIF($B$495:$B$497,"article",F495:F497)</f>
        <v>#VALUE!</v>
      </c>
      <c r="G494" s="68" t="e">
        <f>SUMIF($B$495:$B$497,"article",G495:G497)</f>
        <v>#VALUE!</v>
      </c>
      <c r="H494" s="68">
        <f>SUMIF($B$495:$B$497,"article",H495:H497)</f>
        <v>28065363</v>
      </c>
      <c r="I494" s="68">
        <v>28065363.000000004</v>
      </c>
      <c r="J494" s="68">
        <f>SUMIF($B$495:$B$497,"article",J495:J497)</f>
        <v>22804083.91</v>
      </c>
      <c r="K494" s="68">
        <f>SUMIF($B$495:$B$497,"article",K495:K497)</f>
        <v>5261279.0900000017</v>
      </c>
      <c r="L494" s="69">
        <f>+J494/H494</f>
        <v>0.8125347927977985</v>
      </c>
      <c r="M494" s="68"/>
      <c r="N494" s="68"/>
      <c r="O494" s="9"/>
      <c r="Q494" s="23"/>
      <c r="AK494" s="70"/>
      <c r="AL494" s="70"/>
      <c r="AM494" s="70"/>
      <c r="AN494" s="70"/>
      <c r="AO494" s="11">
        <v>1215220</v>
      </c>
    </row>
    <row r="495" spans="1:42" s="62" customFormat="1" ht="27.75" customHeight="1" thickTop="1" thickBot="1" x14ac:dyDescent="0.3">
      <c r="A495" s="56" t="s">
        <v>22</v>
      </c>
      <c r="B495" s="56" t="s">
        <v>22</v>
      </c>
      <c r="C495" s="57">
        <f t="shared" si="266"/>
        <v>1215220</v>
      </c>
      <c r="D495" s="58">
        <v>1</v>
      </c>
      <c r="E495" s="59" t="str">
        <f>IF(D495=1, "DEPENSES DE PERSONNEL",  +IF(D495=2,"DEPENSES DE SERVICES ET CHARGES DIVERSES", +IF(D495=3,"ACHATS DE BIENS DE CONSOMMATION ET PETITS MATERIELS",+IF(D495=4,"IMMOBILISATION CORPORELLE",+IF(D495=5,"IMMOBILISATION INCORPORELLE",+IF(D495=7,"SUBVENTIONS,QUOTES-PARTS ET CONTRIB.,ALLOC, INDEMNISATIONS",+IF(D495=8,"AMORTISSEMENT DE LA DETTE",+IF(D495=9,"AUTRES DEPENSES PUBLIQUES",0))))))))</f>
        <v>DEPENSES DE PERSONNEL</v>
      </c>
      <c r="F495" s="60" t="e">
        <f>SUMIFS([49]mensuel_section_article1!$E$3:$E$962,[49]mensuel_section_article1!$B$3:$B$962,C495,[49]mensuel_section_article1!$C$3:$C$962,D495)</f>
        <v>#VALUE!</v>
      </c>
      <c r="G495" s="60" t="e">
        <f>SUMIFS([49]mensuel_section_article1!$G$3:$G$962,[49]mensuel_section_article1!$B$3:$B$962,C495,[49]mensuel_section_article1!$C$3:$C$962,D495)</f>
        <v>#VALUE!</v>
      </c>
      <c r="H495" s="60">
        <v>18495619.990000002</v>
      </c>
      <c r="I495" s="60">
        <v>18495620.000000004</v>
      </c>
      <c r="J495" s="60">
        <v>18034683.34</v>
      </c>
      <c r="K495" s="60">
        <f t="shared" ref="K495:K497" si="271">+H495-J495</f>
        <v>460936.65000000224</v>
      </c>
      <c r="L495" s="61">
        <f>+J495/H495</f>
        <v>0.97507860508329991</v>
      </c>
      <c r="M495" s="60"/>
      <c r="N495" s="24"/>
      <c r="O495" s="9"/>
      <c r="Q495" s="63"/>
      <c r="AK495" s="64"/>
      <c r="AL495" s="64"/>
      <c r="AM495" s="64"/>
      <c r="AN495" s="64"/>
      <c r="AO495" s="11">
        <v>1215220</v>
      </c>
      <c r="AP495" s="65" t="str">
        <f>CONCATENATE(AO495,D495)</f>
        <v>12152201</v>
      </c>
    </row>
    <row r="496" spans="1:42" s="62" customFormat="1" ht="27.75" customHeight="1" thickTop="1" thickBot="1" x14ac:dyDescent="0.3">
      <c r="A496" s="56" t="s">
        <v>22</v>
      </c>
      <c r="B496" s="56" t="s">
        <v>22</v>
      </c>
      <c r="C496" s="57">
        <f t="shared" si="266"/>
        <v>1215220</v>
      </c>
      <c r="D496" s="58">
        <v>2</v>
      </c>
      <c r="E496" s="59" t="str">
        <f>IF(D496=1, "DEPENSES DE PERSONNEL",  +IF(D496=2,"DEPENSES DE SERVICES ET CHARGES DIVERSES", +IF(D496=3,"ACHATS DE BIENS DE CONSOMMATION ET PETITS MATERIELS",+IF(D496=4,"IMMOBILISATION CORPORELLE",+IF(D496=5,"IMMOBILISATION INCORPORELLE",+IF(D496=7,"SUBVENTIONS,QUOTES-PARTS ET CONTRIB.,ALLOC, INDEMNISATIONS",+IF(D496=8,"AMORTISSEMENT DE LA DETTE",+IF(D496=9,"AUTRES DEPENSES PUBLIQUES",0))))))))</f>
        <v>DEPENSES DE SERVICES ET CHARGES DIVERSES</v>
      </c>
      <c r="F496" s="60" t="e">
        <f>SUMIFS([49]mensuel_section_article1!$E$3:$E$962,[49]mensuel_section_article1!$B$3:$B$962,C496,[49]mensuel_section_article1!$C$3:$C$962,D496)</f>
        <v>#VALUE!</v>
      </c>
      <c r="G496" s="60" t="e">
        <f>SUMIFS([49]mensuel_section_article1!$G$3:$G$962,[49]mensuel_section_article1!$B$3:$B$962,C496,[49]mensuel_section_article1!$C$3:$C$962,D496)</f>
        <v>#VALUE!</v>
      </c>
      <c r="H496" s="60">
        <v>9569743.0099999998</v>
      </c>
      <c r="I496" s="60">
        <v>9569743</v>
      </c>
      <c r="J496" s="60">
        <v>4769400.57</v>
      </c>
      <c r="K496" s="60">
        <f t="shared" si="271"/>
        <v>4800342.4399999995</v>
      </c>
      <c r="L496" s="61">
        <f>+J496/H496</f>
        <v>0.49838334895891845</v>
      </c>
      <c r="M496" s="60"/>
      <c r="N496" s="24"/>
      <c r="O496" s="9"/>
      <c r="Q496" s="63"/>
      <c r="AK496" s="64"/>
      <c r="AL496" s="64"/>
      <c r="AM496" s="64"/>
      <c r="AN496" s="64"/>
      <c r="AO496" s="11">
        <v>1215220</v>
      </c>
      <c r="AP496" s="65" t="str">
        <f>CONCATENATE(AO496,D496)</f>
        <v>12152202</v>
      </c>
    </row>
    <row r="497" spans="1:42" s="62" customFormat="1" ht="27.75" hidden="1" customHeight="1" thickTop="1" thickBot="1" x14ac:dyDescent="0.3">
      <c r="A497" s="56" t="s">
        <v>22</v>
      </c>
      <c r="B497" s="56" t="s">
        <v>22</v>
      </c>
      <c r="C497" s="57">
        <f>IF(A494="SECTION",D494,C494)</f>
        <v>1215220</v>
      </c>
      <c r="D497" s="58">
        <v>7</v>
      </c>
      <c r="E497" s="59" t="str">
        <f>IF(D497=1, "DEPENSES DE PERSONNEL",  +IF(D497=2,"DEPENSES DE SERVICES ET CHARGES DIVERSES", +IF(D497=3,"ACHATS DE BIENS DE CONSOMMATION ET PETITS MATERIELS",+IF(D497=4,"IMMOBILISATION CORPORELLE",+IF(D497=5,"IMMOBILISATION INCORPORELLE",+IF(D497=7,"SUBVENTIONS,QUOTES-PARTS ET CONTRIB.,ALLOC, INDEMNISATIONS",+IF(D497=8,"AMORTISSEMENT DE LA DETTE",+IF(D497=9,"AUTRES DEPENSES PUBLIQUES",0))))))))</f>
        <v>SUBVENTIONS,QUOTES-PARTS ET CONTRIB.,ALLOC, INDEMNISATIONS</v>
      </c>
      <c r="F497" s="60" t="e">
        <f>SUMIFS([49]mensuel_section_article1!$E$3:$E$962,[49]mensuel_section_article1!$B$3:$B$962,C497,[49]mensuel_section_article1!$C$3:$C$962,D497)</f>
        <v>#VALUE!</v>
      </c>
      <c r="G497" s="60" t="e">
        <f>SUMIFS([49]mensuel_section_article1!$G$3:$G$962,[49]mensuel_section_article1!$B$3:$B$962,C497,[49]mensuel_section_article1!$C$3:$C$962,D497)</f>
        <v>#VALUE!</v>
      </c>
      <c r="H497" s="60">
        <v>0</v>
      </c>
      <c r="I497" s="60">
        <v>0</v>
      </c>
      <c r="J497" s="60">
        <v>0</v>
      </c>
      <c r="K497" s="60">
        <f t="shared" si="271"/>
        <v>0</v>
      </c>
      <c r="L497" s="61" t="e">
        <f>IF(F497&lt;&gt;0,K497/F497,0)</f>
        <v>#VALUE!</v>
      </c>
      <c r="M497" s="60" t="e">
        <f>+SUMIFS([51]section_article!$H$10:$H$936,[51]section_article!$C$10:$C$936,C497,[51]section_article!$D$10:$D$936,D497)</f>
        <v>#VALUE!</v>
      </c>
      <c r="N497" s="24" t="e">
        <f>+J497-M497</f>
        <v>#VALUE!</v>
      </c>
      <c r="O497" s="9"/>
      <c r="P497" s="62">
        <f>160000/75</f>
        <v>2133.3333333333335</v>
      </c>
      <c r="Q497" s="63"/>
      <c r="AK497" s="64"/>
      <c r="AL497" s="64"/>
      <c r="AM497" s="64"/>
      <c r="AN497" s="64"/>
      <c r="AO497" s="11">
        <v>1215220</v>
      </c>
      <c r="AP497" s="65" t="str">
        <f>CONCATENATE(AO497,D497)</f>
        <v>12152207</v>
      </c>
    </row>
    <row r="498" spans="1:42" s="1" customFormat="1" ht="27.75" customHeight="1" thickTop="1" x14ac:dyDescent="0.25">
      <c r="A498" s="37" t="s">
        <v>16</v>
      </c>
      <c r="B498" s="37" t="s">
        <v>16</v>
      </c>
      <c r="C498" s="37" t="s">
        <v>16</v>
      </c>
      <c r="D498" s="73">
        <v>1216</v>
      </c>
      <c r="E498" s="74" t="s">
        <v>90</v>
      </c>
      <c r="F498" s="75" t="e">
        <f>SUMIF($B$499:$B$523,"chap",F499:F523)</f>
        <v>#VALUE!</v>
      </c>
      <c r="G498" s="75" t="e">
        <f>SUMIF($B$499:$B$523,"chap",G499:G523)</f>
        <v>#VALUE!</v>
      </c>
      <c r="H498" s="75">
        <f>SUMIF($B$499:$B$523,"chap",H499:H523)</f>
        <v>2160830671.349</v>
      </c>
      <c r="I498" s="75">
        <v>2261875266.5</v>
      </c>
      <c r="J498" s="75">
        <f>SUMIF($B$499:$B$523,"chap",J499:J523)</f>
        <v>2016798651.1099997</v>
      </c>
      <c r="K498" s="75">
        <f>SUMIF($B$499:$B$523,"chap",K499:K523)</f>
        <v>144032020.23899999</v>
      </c>
      <c r="L498" s="76">
        <f t="shared" ref="L498:L504" si="272">+J498/H498</f>
        <v>0.93334414299613699</v>
      </c>
      <c r="M498" s="75"/>
      <c r="N498" s="75"/>
      <c r="O498" s="9"/>
      <c r="Q498" s="23"/>
      <c r="AK498" s="77"/>
      <c r="AL498" s="77"/>
      <c r="AM498" s="77"/>
      <c r="AN498" s="77"/>
      <c r="AO498" s="11"/>
    </row>
    <row r="499" spans="1:42" s="49" customFormat="1" ht="27.75" customHeight="1" x14ac:dyDescent="0.25">
      <c r="A499" s="43" t="s">
        <v>19</v>
      </c>
      <c r="B499" s="43" t="s">
        <v>19</v>
      </c>
      <c r="C499" s="43" t="s">
        <v>19</v>
      </c>
      <c r="D499" s="44">
        <v>12161</v>
      </c>
      <c r="E499" s="45" t="str">
        <f>VLOOKUP(D499,[49]INST!$A$1:$B$626,2,FALSE)</f>
        <v>SERVICES INTERNES</v>
      </c>
      <c r="F499" s="46" t="e">
        <f>SUMIF($B$500:$B$523,"section",F500:F523)</f>
        <v>#VALUE!</v>
      </c>
      <c r="G499" s="46" t="e">
        <f>SUMIF($B$500:$B$523,"section",G500:G523)</f>
        <v>#VALUE!</v>
      </c>
      <c r="H499" s="46">
        <f>SUMIF($B$500:$B$523,"section",H500:H523)</f>
        <v>2160830671.349</v>
      </c>
      <c r="I499" s="46">
        <v>2261875266.5</v>
      </c>
      <c r="J499" s="46">
        <f>SUMIF($B$500:$B$523,"section",J500:J523)</f>
        <v>2016798651.1099997</v>
      </c>
      <c r="K499" s="46">
        <f>SUMIF($B$500:$B$523,"section",K500:K523)</f>
        <v>144032020.23899999</v>
      </c>
      <c r="L499" s="47">
        <f t="shared" si="272"/>
        <v>0.93334414299613699</v>
      </c>
      <c r="M499" s="46"/>
      <c r="N499" s="46"/>
      <c r="O499" s="48"/>
      <c r="AO499" s="11"/>
    </row>
    <row r="500" spans="1:42" s="1" customFormat="1" ht="27.75" customHeight="1" thickBot="1" x14ac:dyDescent="0.3">
      <c r="A500" s="50" t="s">
        <v>20</v>
      </c>
      <c r="B500" s="50" t="s">
        <v>20</v>
      </c>
      <c r="C500" s="50" t="s">
        <v>20</v>
      </c>
      <c r="D500" s="51">
        <v>1216111</v>
      </c>
      <c r="E500" s="67" t="s">
        <v>21</v>
      </c>
      <c r="F500" s="68" t="e">
        <f>SUMIF($B$501:$B$507,"article",F501:F507)</f>
        <v>#VALUE!</v>
      </c>
      <c r="G500" s="68" t="e">
        <f>SUMIF($B$501:$B$507,"article",G501:G507)</f>
        <v>#VALUE!</v>
      </c>
      <c r="H500" s="68">
        <f>SUMIF($B$501:$B$507,"article",H501:H507)</f>
        <v>168632314.33600003</v>
      </c>
      <c r="I500" s="68">
        <v>504180740.38999999</v>
      </c>
      <c r="J500" s="68">
        <f>SUMIF($B$501:$B$507,"article",J501:J507)</f>
        <v>324197479.94999999</v>
      </c>
      <c r="K500" s="68">
        <f>SUMIF($B$501:$B$507,"article",K501:K507)</f>
        <v>-155565165.61399999</v>
      </c>
      <c r="L500" s="69">
        <f t="shared" si="272"/>
        <v>1.9225110040536848</v>
      </c>
      <c r="M500" s="68"/>
      <c r="N500" s="68"/>
      <c r="O500" s="9"/>
      <c r="Q500" s="23"/>
      <c r="AK500" s="70"/>
      <c r="AL500" s="70"/>
      <c r="AM500" s="70"/>
      <c r="AN500" s="70"/>
      <c r="AO500" s="11">
        <v>1216111</v>
      </c>
    </row>
    <row r="501" spans="1:42" s="62" customFormat="1" ht="27.75" customHeight="1" thickTop="1" thickBot="1" x14ac:dyDescent="0.3">
      <c r="A501" s="56" t="s">
        <v>22</v>
      </c>
      <c r="B501" s="56" t="s">
        <v>22</v>
      </c>
      <c r="C501" s="57">
        <f t="shared" ref="C501:C507" si="273">IF(A500="SECTION",D500,C500)</f>
        <v>1216111</v>
      </c>
      <c r="D501" s="58">
        <v>1</v>
      </c>
      <c r="E501" s="59" t="str">
        <f t="shared" ref="E501:E507" si="274">IF(D501=1, "DEPENSES DE PERSONNEL",  +IF(D501=2,"DEPENSES DE SERVICES ET CHARGES DIVERSES", +IF(D501=3,"ACHATS DE BIENS DE CONSOMMATION ET PETITS MATERIELS",+IF(D501=4,"IMMOBILISATION CORPORELLE",+IF(D501=5,"IMMOBILISATION INCORPORELLE",+IF(D501=7,"SUBVENTIONS,QUOTES-PARTS ET CONTRIB.,ALLOC, INDEMNISATIONS",+IF(D501=8,"AMORTISSEMENT DE LA DETTE",+IF(D501=9,"AUTRES DEPENSES PUBLIQUES",0))))))))</f>
        <v>DEPENSES DE PERSONNEL</v>
      </c>
      <c r="F501" s="60" t="e">
        <f>SUMIFS([49]mensuel_section_article1!$E$3:$E$962,[49]mensuel_section_article1!$B$3:$B$962,C501,[49]mensuel_section_article1!$C$3:$C$962,D501)</f>
        <v>#VALUE!</v>
      </c>
      <c r="G501" s="60" t="e">
        <f>SUMIFS([49]mensuel_section_article1!$G$3:$G$962,[49]mensuel_section_article1!$B$3:$B$962,C501,[49]mensuel_section_article1!$C$3:$C$962,D501)</f>
        <v>#VALUE!</v>
      </c>
      <c r="H501" s="60">
        <v>49258609.780000001</v>
      </c>
      <c r="I501" s="60">
        <v>51376239.799999982</v>
      </c>
      <c r="J501" s="60">
        <v>44457349.950000003</v>
      </c>
      <c r="K501" s="60">
        <f t="shared" ref="K501:K507" si="275">+H501-J501</f>
        <v>4801259.8299999982</v>
      </c>
      <c r="L501" s="61">
        <f t="shared" si="272"/>
        <v>0.90252953034112204</v>
      </c>
      <c r="M501" s="60"/>
      <c r="N501" s="24"/>
      <c r="O501" s="9"/>
      <c r="Q501" s="63"/>
      <c r="AK501" s="64"/>
      <c r="AL501" s="64"/>
      <c r="AM501" s="64"/>
      <c r="AN501" s="64"/>
      <c r="AO501" s="11">
        <v>1216111</v>
      </c>
      <c r="AP501" s="65" t="str">
        <f t="shared" ref="AP501:AP507" si="276">CONCATENATE(AO501,D501)</f>
        <v>12161111</v>
      </c>
    </row>
    <row r="502" spans="1:42" s="62" customFormat="1" ht="27.75" customHeight="1" thickTop="1" thickBot="1" x14ac:dyDescent="0.3">
      <c r="A502" s="56" t="s">
        <v>22</v>
      </c>
      <c r="B502" s="56" t="s">
        <v>22</v>
      </c>
      <c r="C502" s="57">
        <f t="shared" si="273"/>
        <v>1216111</v>
      </c>
      <c r="D502" s="58">
        <v>2</v>
      </c>
      <c r="E502" s="59" t="str">
        <f t="shared" si="274"/>
        <v>DEPENSES DE SERVICES ET CHARGES DIVERSES</v>
      </c>
      <c r="F502" s="60" t="e">
        <f>SUMIFS([49]mensuel_section_article1!$E$3:$E$962,[49]mensuel_section_article1!$B$3:$B$962,C502,[49]mensuel_section_article1!$C$3:$C$962,D502)</f>
        <v>#VALUE!</v>
      </c>
      <c r="G502" s="60" t="e">
        <f>SUMIFS([49]mensuel_section_article1!$G$3:$G$962,[49]mensuel_section_article1!$B$3:$B$962,C502,[49]mensuel_section_article1!$C$3:$C$962,D502)</f>
        <v>#VALUE!</v>
      </c>
      <c r="H502" s="60">
        <v>4566259.8800000008</v>
      </c>
      <c r="I502" s="60">
        <v>4343259.9000000004</v>
      </c>
      <c r="J502" s="60">
        <v>327051</v>
      </c>
      <c r="K502" s="60">
        <f t="shared" si="275"/>
        <v>4239208.8800000008</v>
      </c>
      <c r="L502" s="61">
        <f t="shared" si="272"/>
        <v>7.1623387322405294E-2</v>
      </c>
      <c r="M502" s="60"/>
      <c r="N502" s="24"/>
      <c r="O502" s="9"/>
      <c r="Q502" s="63"/>
      <c r="AK502" s="64"/>
      <c r="AL502" s="64"/>
      <c r="AM502" s="64"/>
      <c r="AN502" s="64"/>
      <c r="AO502" s="11">
        <v>1216111</v>
      </c>
      <c r="AP502" s="65" t="str">
        <f t="shared" si="276"/>
        <v>12161112</v>
      </c>
    </row>
    <row r="503" spans="1:42" s="62" customFormat="1" ht="27.75" customHeight="1" thickTop="1" thickBot="1" x14ac:dyDescent="0.3">
      <c r="A503" s="56" t="s">
        <v>22</v>
      </c>
      <c r="B503" s="56" t="s">
        <v>22</v>
      </c>
      <c r="C503" s="57">
        <f t="shared" si="273"/>
        <v>1216111</v>
      </c>
      <c r="D503" s="58">
        <v>3</v>
      </c>
      <c r="E503" s="59" t="str">
        <f t="shared" si="274"/>
        <v>ACHATS DE BIENS DE CONSOMMATION ET PETITS MATERIELS</v>
      </c>
      <c r="F503" s="60" t="e">
        <f>SUMIFS([49]mensuel_section_article1!$E$3:$E$962,[49]mensuel_section_article1!$B$3:$B$962,C503,[49]mensuel_section_article1!$C$3:$C$962,D503)</f>
        <v>#VALUE!</v>
      </c>
      <c r="G503" s="60" t="e">
        <f>SUMIFS([49]mensuel_section_article1!$G$3:$G$962,[49]mensuel_section_article1!$B$3:$B$962,C503,[49]mensuel_section_article1!$C$3:$C$962,D503)</f>
        <v>#VALUE!</v>
      </c>
      <c r="H503" s="60">
        <v>4963000.9859999996</v>
      </c>
      <c r="I503" s="60">
        <v>3596001</v>
      </c>
      <c r="J503" s="60">
        <v>1975069</v>
      </c>
      <c r="K503" s="60">
        <f t="shared" si="275"/>
        <v>2987931.9859999996</v>
      </c>
      <c r="L503" s="61">
        <f t="shared" si="272"/>
        <v>0.39795861527560056</v>
      </c>
      <c r="M503" s="60"/>
      <c r="N503" s="24"/>
      <c r="O503" s="9"/>
      <c r="Q503" s="63"/>
      <c r="AK503" s="64"/>
      <c r="AL503" s="64"/>
      <c r="AM503" s="64"/>
      <c r="AN503" s="64"/>
      <c r="AO503" s="11">
        <v>1216111</v>
      </c>
      <c r="AP503" s="65" t="str">
        <f t="shared" si="276"/>
        <v>12161113</v>
      </c>
    </row>
    <row r="504" spans="1:42" s="62" customFormat="1" ht="27.75" customHeight="1" thickTop="1" thickBot="1" x14ac:dyDescent="0.3">
      <c r="A504" s="56" t="s">
        <v>22</v>
      </c>
      <c r="B504" s="56" t="s">
        <v>22</v>
      </c>
      <c r="C504" s="57">
        <f t="shared" si="273"/>
        <v>1216111</v>
      </c>
      <c r="D504" s="58">
        <v>4</v>
      </c>
      <c r="E504" s="59" t="str">
        <f t="shared" si="274"/>
        <v>IMMOBILISATION CORPORELLE</v>
      </c>
      <c r="F504" s="60" t="e">
        <f>SUMIFS([49]mensuel_section_article1!$E$3:$E$962,[49]mensuel_section_article1!$B$3:$B$962,C504,[49]mensuel_section_article1!$C$3:$C$962,D504)</f>
        <v>#VALUE!</v>
      </c>
      <c r="G504" s="60" t="e">
        <f>SUMIFS([49]mensuel_section_article1!$G$3:$G$962,[49]mensuel_section_article1!$B$3:$B$962,C504,[49]mensuel_section_article1!$C$3:$C$962,D504)</f>
        <v>#VALUE!</v>
      </c>
      <c r="H504" s="60">
        <v>20844459.010000002</v>
      </c>
      <c r="I504" s="60">
        <v>17065459</v>
      </c>
      <c r="J504" s="60">
        <v>5213010</v>
      </c>
      <c r="K504" s="60">
        <f t="shared" si="275"/>
        <v>15631449.010000002</v>
      </c>
      <c r="L504" s="61">
        <f t="shared" si="272"/>
        <v>0.2500909233239918</v>
      </c>
      <c r="M504" s="60"/>
      <c r="N504" s="24"/>
      <c r="O504" s="9"/>
      <c r="Q504" s="63"/>
      <c r="AK504" s="64"/>
      <c r="AL504" s="64"/>
      <c r="AM504" s="64"/>
      <c r="AN504" s="64"/>
      <c r="AO504" s="11">
        <v>1216111</v>
      </c>
      <c r="AP504" s="65" t="str">
        <f t="shared" si="276"/>
        <v>12161114</v>
      </c>
    </row>
    <row r="505" spans="1:42" s="62" customFormat="1" ht="27.75" hidden="1" customHeight="1" thickTop="1" thickBot="1" x14ac:dyDescent="0.3">
      <c r="A505" s="56" t="s">
        <v>22</v>
      </c>
      <c r="B505" s="56" t="s">
        <v>22</v>
      </c>
      <c r="C505" s="57">
        <f t="shared" si="273"/>
        <v>1216111</v>
      </c>
      <c r="D505" s="58">
        <v>5</v>
      </c>
      <c r="E505" s="59" t="str">
        <f t="shared" si="274"/>
        <v>IMMOBILISATION INCORPORELLE</v>
      </c>
      <c r="F505" s="60" t="e">
        <f>SUMIFS([49]mensuel_section_article1!$E$3:$E$962,[49]mensuel_section_article1!$B$3:$B$962,C505,[49]mensuel_section_article1!$C$3:$C$962,D505)</f>
        <v>#VALUE!</v>
      </c>
      <c r="G505" s="60" t="e">
        <f>SUMIFS([49]mensuel_section_article1!$G$3:$G$962,[49]mensuel_section_article1!$B$3:$B$962,C505,[49]mensuel_section_article1!$C$3:$C$962,D505)</f>
        <v>#VALUE!</v>
      </c>
      <c r="H505" s="60">
        <v>0</v>
      </c>
      <c r="I505" s="60">
        <v>0</v>
      </c>
      <c r="J505" s="60">
        <v>0</v>
      </c>
      <c r="K505" s="60">
        <f t="shared" si="275"/>
        <v>0</v>
      </c>
      <c r="L505" s="61" t="e">
        <f>IF(F505&lt;&gt;0,K505/F505,0)</f>
        <v>#VALUE!</v>
      </c>
      <c r="M505" s="60" t="e">
        <f>+SUMIFS([51]section_article!$H$10:$H$936,[51]section_article!$C$10:$C$936,C505,[51]section_article!$D$10:$D$936,D505)</f>
        <v>#VALUE!</v>
      </c>
      <c r="N505" s="24" t="e">
        <f t="shared" ref="N501:N507" si="277">+J505-M505</f>
        <v>#VALUE!</v>
      </c>
      <c r="O505" s="9"/>
      <c r="Q505" s="63"/>
      <c r="AK505" s="64"/>
      <c r="AL505" s="64"/>
      <c r="AM505" s="64"/>
      <c r="AN505" s="64"/>
      <c r="AO505" s="11">
        <v>1216111</v>
      </c>
      <c r="AP505" s="65" t="str">
        <f t="shared" si="276"/>
        <v>12161115</v>
      </c>
    </row>
    <row r="506" spans="1:42" s="62" customFormat="1" ht="27.75" customHeight="1" thickTop="1" thickBot="1" x14ac:dyDescent="0.3">
      <c r="A506" s="56" t="s">
        <v>22</v>
      </c>
      <c r="B506" s="56" t="s">
        <v>22</v>
      </c>
      <c r="C506" s="57">
        <f t="shared" si="273"/>
        <v>1216111</v>
      </c>
      <c r="D506" s="58">
        <v>7</v>
      </c>
      <c r="E506" s="59" t="str">
        <f t="shared" si="274"/>
        <v>SUBVENTIONS,QUOTES-PARTS ET CONTRIB.,ALLOC, INDEMNISATIONS</v>
      </c>
      <c r="F506" s="60" t="e">
        <f>SUMIFS([49]mensuel_section_article1!$E$3:$E$962,[49]mensuel_section_article1!$B$3:$B$962,C506,[49]mensuel_section_article1!$C$3:$C$962,D506)</f>
        <v>#VALUE!</v>
      </c>
      <c r="G506" s="60" t="e">
        <f>SUMIFS([49]mensuel_section_article1!$G$3:$G$962,[49]mensuel_section_article1!$B$3:$B$962,C506,[49]mensuel_section_article1!$C$3:$C$962,D506)</f>
        <v>#VALUE!</v>
      </c>
      <c r="H506" s="60">
        <v>4999984</v>
      </c>
      <c r="I506" s="60">
        <v>4799768.99</v>
      </c>
      <c r="J506" s="60">
        <v>4745000</v>
      </c>
      <c r="K506" s="60">
        <f t="shared" si="275"/>
        <v>254984</v>
      </c>
      <c r="L506" s="61">
        <f t="shared" ref="L506:L512" si="278">+J506/H506</f>
        <v>0.94900303680971776</v>
      </c>
      <c r="M506" s="60"/>
      <c r="N506" s="24"/>
      <c r="O506" s="9"/>
      <c r="Q506" s="63"/>
      <c r="AK506" s="64"/>
      <c r="AL506" s="64"/>
      <c r="AM506" s="64"/>
      <c r="AN506" s="64"/>
      <c r="AO506" s="11">
        <v>1216111</v>
      </c>
      <c r="AP506" s="65" t="str">
        <f t="shared" si="276"/>
        <v>12161117</v>
      </c>
    </row>
    <row r="507" spans="1:42" s="62" customFormat="1" ht="27.75" customHeight="1" thickTop="1" thickBot="1" x14ac:dyDescent="0.3">
      <c r="A507" s="56" t="s">
        <v>22</v>
      </c>
      <c r="B507" s="56" t="s">
        <v>22</v>
      </c>
      <c r="C507" s="57">
        <f t="shared" si="273"/>
        <v>1216111</v>
      </c>
      <c r="D507" s="58">
        <v>9</v>
      </c>
      <c r="E507" s="59" t="str">
        <f t="shared" si="274"/>
        <v>AUTRES DEPENSES PUBLIQUES</v>
      </c>
      <c r="F507" s="60" t="e">
        <f>SUMIFS([49]mensuel_section_article1!$E$3:$E$962,[49]mensuel_section_article1!$B$3:$B$962,C507,[49]mensuel_section_article1!$C$3:$C$962,D507)</f>
        <v>#VALUE!</v>
      </c>
      <c r="G507" s="60" t="e">
        <f>SUMIFS([49]mensuel_section_article1!$G$3:$G$962,[49]mensuel_section_article1!$B$3:$B$962,C507,[49]mensuel_section_article1!$C$3:$C$962,D507)</f>
        <v>#VALUE!</v>
      </c>
      <c r="H507" s="60">
        <v>84000000.680000007</v>
      </c>
      <c r="I507" s="60">
        <v>423000011.69999999</v>
      </c>
      <c r="J507" s="60">
        <v>267480000</v>
      </c>
      <c r="K507" s="60">
        <f t="shared" si="275"/>
        <v>-183479999.31999999</v>
      </c>
      <c r="L507" s="61">
        <f t="shared" si="278"/>
        <v>3.1842856885081634</v>
      </c>
      <c r="M507" s="60"/>
      <c r="N507" s="24"/>
      <c r="O507" s="9"/>
      <c r="Q507" s="63"/>
      <c r="AK507" s="64"/>
      <c r="AL507" s="64"/>
      <c r="AM507" s="64"/>
      <c r="AN507" s="64"/>
      <c r="AO507" s="11">
        <v>1216111</v>
      </c>
      <c r="AP507" s="65" t="str">
        <f t="shared" si="276"/>
        <v>12161119</v>
      </c>
    </row>
    <row r="508" spans="1:42" s="1" customFormat="1" ht="27.75" customHeight="1" thickTop="1" thickBot="1" x14ac:dyDescent="0.3">
      <c r="A508" s="50" t="s">
        <v>20</v>
      </c>
      <c r="B508" s="50" t="s">
        <v>20</v>
      </c>
      <c r="C508" s="50" t="s">
        <v>20</v>
      </c>
      <c r="D508" s="51">
        <v>1216112</v>
      </c>
      <c r="E508" s="67" t="s">
        <v>23</v>
      </c>
      <c r="F508" s="68" t="e">
        <f>SUMIF($B$509:$B$515,"article",F509:F515)</f>
        <v>#VALUE!</v>
      </c>
      <c r="G508" s="68" t="e">
        <f>SUMIF($B$509:$B$515,"article",G509:G515)</f>
        <v>#VALUE!</v>
      </c>
      <c r="H508" s="68">
        <f>SUMIF($B$509:$B$515,"article",H509:H515)</f>
        <v>1504104533.7329998</v>
      </c>
      <c r="I508" s="68">
        <v>1286966245.7099998</v>
      </c>
      <c r="J508" s="68">
        <f>SUMIF($B$509:$B$515,"article",J509:J515)</f>
        <v>1232065944.5299997</v>
      </c>
      <c r="K508" s="68">
        <f>SUMIF($B$509:$B$515,"article",K509:K515)</f>
        <v>272038589.20300001</v>
      </c>
      <c r="L508" s="69">
        <f t="shared" si="278"/>
        <v>0.81913584920335669</v>
      </c>
      <c r="M508" s="68"/>
      <c r="N508" s="68"/>
      <c r="O508" s="9"/>
      <c r="Q508" s="23"/>
      <c r="AK508" s="70"/>
      <c r="AL508" s="70"/>
      <c r="AM508" s="70"/>
      <c r="AN508" s="70"/>
      <c r="AO508" s="11">
        <v>1216112</v>
      </c>
    </row>
    <row r="509" spans="1:42" s="62" customFormat="1" ht="27.75" customHeight="1" thickTop="1" thickBot="1" x14ac:dyDescent="0.3">
      <c r="A509" s="56" t="s">
        <v>22</v>
      </c>
      <c r="B509" s="56" t="s">
        <v>22</v>
      </c>
      <c r="C509" s="57">
        <f t="shared" ref="C509:C515" si="279">IF(A508="SECTION",D508,C508)</f>
        <v>1216112</v>
      </c>
      <c r="D509" s="58">
        <v>1</v>
      </c>
      <c r="E509" s="59" t="str">
        <f t="shared" ref="E509:E515" si="280">IF(D509=1, "DEPENSES DE PERSONNEL",  +IF(D509=2,"DEPENSES DE SERVICES ET CHARGES DIVERSES", +IF(D509=3,"ACHATS DE BIENS DE CONSOMMATION ET PETITS MATERIELS",+IF(D509=4,"IMMOBILISATION CORPORELLE",+IF(D509=5,"IMMOBILISATION INCORPORELLE",+IF(D509=7,"SUBVENTIONS,QUOTES-PARTS ET CONTRIB.,ALLOC, INDEMNISATIONS",+IF(D509=8,"AMORTISSEMENT DE LA DETTE",+IF(D509=9,"AUTRES DEPENSES PUBLIQUES",0))))))))</f>
        <v>DEPENSES DE PERSONNEL</v>
      </c>
      <c r="F509" s="60" t="e">
        <f>SUMIFS([49]mensuel_section_article1!$E$3:$E$962,[49]mensuel_section_article1!$B$3:$B$962,C509,[49]mensuel_section_article1!$C$3:$C$962,D509)</f>
        <v>#VALUE!</v>
      </c>
      <c r="G509" s="60" t="e">
        <f>SUMIFS([49]mensuel_section_article1!$G$3:$G$962,[49]mensuel_section_article1!$B$3:$B$962,C509,[49]mensuel_section_article1!$C$3:$C$962,D509)</f>
        <v>#VALUE!</v>
      </c>
      <c r="H509" s="60">
        <v>547183797.43999994</v>
      </c>
      <c r="I509" s="60">
        <v>663476305.39999986</v>
      </c>
      <c r="J509" s="60">
        <v>644535314.87999988</v>
      </c>
      <c r="K509" s="60">
        <f t="shared" ref="K509:K515" si="281">+H509-J509</f>
        <v>-97351517.439999938</v>
      </c>
      <c r="L509" s="61">
        <f t="shared" si="278"/>
        <v>1.1779137428693232</v>
      </c>
      <c r="M509" s="60"/>
      <c r="N509" s="24"/>
      <c r="O509" s="9"/>
      <c r="Q509" s="63"/>
      <c r="AK509" s="64"/>
      <c r="AL509" s="64"/>
      <c r="AM509" s="64"/>
      <c r="AN509" s="64"/>
      <c r="AO509" s="11">
        <v>1216112</v>
      </c>
      <c r="AP509" s="65" t="str">
        <f t="shared" ref="AP509:AP515" si="282">CONCATENATE(AO509,D509)</f>
        <v>12161121</v>
      </c>
    </row>
    <row r="510" spans="1:42" s="62" customFormat="1" ht="27.75" customHeight="1" thickTop="1" thickBot="1" x14ac:dyDescent="0.3">
      <c r="A510" s="56" t="s">
        <v>22</v>
      </c>
      <c r="B510" s="56" t="s">
        <v>22</v>
      </c>
      <c r="C510" s="57">
        <f t="shared" si="279"/>
        <v>1216112</v>
      </c>
      <c r="D510" s="58">
        <v>2</v>
      </c>
      <c r="E510" s="59" t="str">
        <f t="shared" si="280"/>
        <v>DEPENSES DE SERVICES ET CHARGES DIVERSES</v>
      </c>
      <c r="F510" s="60" t="e">
        <f>SUMIFS([49]mensuel_section_article1!$E$3:$E$962,[49]mensuel_section_article1!$B$3:$B$962,C510,[49]mensuel_section_article1!$C$3:$C$962,D510)</f>
        <v>#VALUE!</v>
      </c>
      <c r="G510" s="60" t="e">
        <f>SUMIFS([49]mensuel_section_article1!$G$3:$G$962,[49]mensuel_section_article1!$B$3:$B$962,C510,[49]mensuel_section_article1!$C$3:$C$962,D510)</f>
        <v>#VALUE!</v>
      </c>
      <c r="H510" s="60">
        <v>159442414.64499998</v>
      </c>
      <c r="I510" s="60">
        <v>148991542</v>
      </c>
      <c r="J510" s="60">
        <v>135484711.56</v>
      </c>
      <c r="K510" s="60">
        <f t="shared" si="281"/>
        <v>23957703.084999979</v>
      </c>
      <c r="L510" s="61">
        <f t="shared" si="278"/>
        <v>0.84974071586696664</v>
      </c>
      <c r="M510" s="60"/>
      <c r="N510" s="24"/>
      <c r="O510" s="9"/>
      <c r="Q510" s="63"/>
      <c r="AK510" s="64"/>
      <c r="AL510" s="64"/>
      <c r="AM510" s="64"/>
      <c r="AN510" s="64"/>
      <c r="AO510" s="11">
        <v>1216112</v>
      </c>
      <c r="AP510" s="65" t="str">
        <f t="shared" si="282"/>
        <v>12161122</v>
      </c>
    </row>
    <row r="511" spans="1:42" s="62" customFormat="1" ht="27.75" customHeight="1" thickTop="1" thickBot="1" x14ac:dyDescent="0.3">
      <c r="A511" s="56" t="s">
        <v>22</v>
      </c>
      <c r="B511" s="56" t="s">
        <v>22</v>
      </c>
      <c r="C511" s="57">
        <f t="shared" si="279"/>
        <v>1216112</v>
      </c>
      <c r="D511" s="58">
        <v>3</v>
      </c>
      <c r="E511" s="59" t="str">
        <f t="shared" si="280"/>
        <v>ACHATS DE BIENS DE CONSOMMATION ET PETITS MATERIELS</v>
      </c>
      <c r="F511" s="60" t="e">
        <f>SUMIFS([49]mensuel_section_article1!$E$3:$E$962,[49]mensuel_section_article1!$B$3:$B$962,C511,[49]mensuel_section_article1!$C$3:$C$962,D511)</f>
        <v>#VALUE!</v>
      </c>
      <c r="G511" s="60" t="e">
        <f>SUMIFS([49]mensuel_section_article1!$G$3:$G$962,[49]mensuel_section_article1!$B$3:$B$962,C511,[49]mensuel_section_article1!$C$3:$C$962,D511)</f>
        <v>#VALUE!</v>
      </c>
      <c r="H511" s="60">
        <v>103894853.50999999</v>
      </c>
      <c r="I511" s="60">
        <v>115935726.09999999</v>
      </c>
      <c r="J511" s="60">
        <v>101271526.09999999</v>
      </c>
      <c r="K511" s="60">
        <f t="shared" si="281"/>
        <v>2623327.4099999964</v>
      </c>
      <c r="L511" s="61">
        <f t="shared" si="278"/>
        <v>0.97475016979789575</v>
      </c>
      <c r="M511" s="60"/>
      <c r="N511" s="24"/>
      <c r="O511" s="9"/>
      <c r="Q511" s="63"/>
      <c r="AK511" s="64"/>
      <c r="AL511" s="64"/>
      <c r="AM511" s="64"/>
      <c r="AN511" s="64"/>
      <c r="AO511" s="11">
        <v>1216112</v>
      </c>
      <c r="AP511" s="65" t="str">
        <f t="shared" si="282"/>
        <v>12161123</v>
      </c>
    </row>
    <row r="512" spans="1:42" s="62" customFormat="1" ht="21.75" customHeight="1" thickTop="1" thickBot="1" x14ac:dyDescent="0.3">
      <c r="A512" s="56" t="s">
        <v>22</v>
      </c>
      <c r="B512" s="56" t="s">
        <v>22</v>
      </c>
      <c r="C512" s="57">
        <f t="shared" si="279"/>
        <v>1216112</v>
      </c>
      <c r="D512" s="58">
        <v>4</v>
      </c>
      <c r="E512" s="59" t="str">
        <f t="shared" si="280"/>
        <v>IMMOBILISATION CORPORELLE</v>
      </c>
      <c r="F512" s="60" t="e">
        <f>SUMIFS([49]mensuel_section_article1!$E$3:$E$962,[49]mensuel_section_article1!$B$3:$B$962,C512,[49]mensuel_section_article1!$C$3:$C$962,D512)</f>
        <v>#VALUE!</v>
      </c>
      <c r="G512" s="60" t="e">
        <f>SUMIFS([49]mensuel_section_article1!$G$3:$G$962,[49]mensuel_section_article1!$B$3:$B$962,C512,[49]mensuel_section_article1!$C$3:$C$962,D512)</f>
        <v>#VALUE!</v>
      </c>
      <c r="H512" s="60">
        <v>30520420.789000001</v>
      </c>
      <c r="I512" s="60">
        <v>34299420.799999997</v>
      </c>
      <c r="J512" s="60">
        <v>34155891.990000002</v>
      </c>
      <c r="K512" s="60">
        <f t="shared" si="281"/>
        <v>-3635471.2010000013</v>
      </c>
      <c r="L512" s="61">
        <f t="shared" si="278"/>
        <v>1.1191160248455774</v>
      </c>
      <c r="M512" s="60"/>
      <c r="N512" s="24"/>
      <c r="O512" s="9"/>
      <c r="Q512" s="63"/>
      <c r="AK512" s="64"/>
      <c r="AL512" s="64"/>
      <c r="AM512" s="64"/>
      <c r="AN512" s="64"/>
      <c r="AO512" s="11">
        <v>1216112</v>
      </c>
      <c r="AP512" s="65" t="str">
        <f t="shared" si="282"/>
        <v>12161124</v>
      </c>
    </row>
    <row r="513" spans="1:42" s="62" customFormat="1" ht="27.75" hidden="1" customHeight="1" thickTop="1" thickBot="1" x14ac:dyDescent="0.3">
      <c r="A513" s="56" t="s">
        <v>22</v>
      </c>
      <c r="B513" s="56" t="s">
        <v>22</v>
      </c>
      <c r="C513" s="57">
        <f t="shared" si="279"/>
        <v>1216112</v>
      </c>
      <c r="D513" s="58">
        <v>5</v>
      </c>
      <c r="E513" s="59" t="str">
        <f t="shared" si="280"/>
        <v>IMMOBILISATION INCORPORELLE</v>
      </c>
      <c r="F513" s="60" t="e">
        <f>SUMIFS([49]mensuel_section_article1!$E$3:$E$962,[49]mensuel_section_article1!$B$3:$B$962,C513,[49]mensuel_section_article1!$C$3:$C$962,D513)</f>
        <v>#VALUE!</v>
      </c>
      <c r="G513" s="60" t="e">
        <f>SUMIFS([49]mensuel_section_article1!$G$3:$G$962,[49]mensuel_section_article1!$B$3:$B$962,C513,[49]mensuel_section_article1!$C$3:$C$962,D513)</f>
        <v>#VALUE!</v>
      </c>
      <c r="H513" s="60">
        <v>45</v>
      </c>
      <c r="I513" s="60">
        <v>45</v>
      </c>
      <c r="J513" s="60">
        <v>0</v>
      </c>
      <c r="K513" s="60">
        <f t="shared" si="281"/>
        <v>45</v>
      </c>
      <c r="L513" s="61" t="e">
        <f>IF(F513&lt;&gt;0,K513/F513,0)</f>
        <v>#VALUE!</v>
      </c>
      <c r="M513" s="60" t="e">
        <f>+SUMIFS([51]section_article!$H$10:$H$936,[51]section_article!$C$10:$C$936,C513,[51]section_article!$D$10:$D$936,D513)</f>
        <v>#VALUE!</v>
      </c>
      <c r="N513" s="24" t="e">
        <f t="shared" ref="N509:N515" si="283">+J513-M513</f>
        <v>#VALUE!</v>
      </c>
      <c r="O513" s="9"/>
      <c r="Q513" s="63"/>
      <c r="AK513" s="64"/>
      <c r="AL513" s="64"/>
      <c r="AM513" s="64"/>
      <c r="AN513" s="64"/>
      <c r="AO513" s="11">
        <v>1216112</v>
      </c>
      <c r="AP513" s="65" t="str">
        <f t="shared" si="282"/>
        <v>12161125</v>
      </c>
    </row>
    <row r="514" spans="1:42" s="62" customFormat="1" ht="27.75" customHeight="1" thickTop="1" thickBot="1" x14ac:dyDescent="0.3">
      <c r="A514" s="56" t="s">
        <v>22</v>
      </c>
      <c r="B514" s="56" t="s">
        <v>22</v>
      </c>
      <c r="C514" s="57">
        <f t="shared" si="279"/>
        <v>1216112</v>
      </c>
      <c r="D514" s="58">
        <v>7</v>
      </c>
      <c r="E514" s="59" t="str">
        <f t="shared" si="280"/>
        <v>SUBVENTIONS,QUOTES-PARTS ET CONTRIB.,ALLOC, INDEMNISATIONS</v>
      </c>
      <c r="F514" s="60" t="e">
        <f>SUMIFS([49]mensuel_section_article1!$E$3:$E$962,[49]mensuel_section_article1!$B$3:$B$962,C514,[49]mensuel_section_article1!$C$3:$C$962,D514)</f>
        <v>#VALUE!</v>
      </c>
      <c r="G514" s="60" t="e">
        <f>SUMIFS([49]mensuel_section_article1!$G$3:$G$962,[49]mensuel_section_article1!$B$3:$B$962,C514,[49]mensuel_section_article1!$C$3:$C$962,D514)</f>
        <v>#VALUE!</v>
      </c>
      <c r="H514" s="60">
        <v>23500000</v>
      </c>
      <c r="I514" s="60">
        <v>23700215.009999998</v>
      </c>
      <c r="J514" s="60">
        <v>23700000</v>
      </c>
      <c r="K514" s="60">
        <f t="shared" si="281"/>
        <v>-200000</v>
      </c>
      <c r="L514" s="61">
        <f>+J514/H514</f>
        <v>1.0085106382978724</v>
      </c>
      <c r="M514" s="60"/>
      <c r="N514" s="24"/>
      <c r="O514" s="9"/>
      <c r="Q514" s="63"/>
      <c r="AK514" s="64"/>
      <c r="AL514" s="64"/>
      <c r="AM514" s="64"/>
      <c r="AN514" s="64"/>
      <c r="AO514" s="11">
        <v>1216112</v>
      </c>
      <c r="AP514" s="65" t="str">
        <f t="shared" si="282"/>
        <v>12161127</v>
      </c>
    </row>
    <row r="515" spans="1:42" s="62" customFormat="1" ht="27.75" customHeight="1" thickTop="1" thickBot="1" x14ac:dyDescent="0.3">
      <c r="A515" s="56" t="s">
        <v>22</v>
      </c>
      <c r="B515" s="56" t="s">
        <v>22</v>
      </c>
      <c r="C515" s="57">
        <f t="shared" si="279"/>
        <v>1216112</v>
      </c>
      <c r="D515" s="58">
        <v>9</v>
      </c>
      <c r="E515" s="59" t="str">
        <f t="shared" si="280"/>
        <v>AUTRES DEPENSES PUBLIQUES</v>
      </c>
      <c r="F515" s="60" t="e">
        <f>SUMIFS([49]mensuel_section_article1!$E$3:$E$962,[49]mensuel_section_article1!$B$3:$B$962,C515,[49]mensuel_section_article1!$C$3:$C$962,D515)</f>
        <v>#VALUE!</v>
      </c>
      <c r="G515" s="60" t="e">
        <f>SUMIFS([49]mensuel_section_article1!$G$3:$G$962,[49]mensuel_section_article1!$B$3:$B$962,C515,[49]mensuel_section_article1!$C$3:$C$962,D515)</f>
        <v>#VALUE!</v>
      </c>
      <c r="H515" s="60">
        <v>639563002.34899998</v>
      </c>
      <c r="I515" s="60">
        <v>300562991.39999998</v>
      </c>
      <c r="J515" s="60">
        <v>292918500</v>
      </c>
      <c r="K515" s="60">
        <f t="shared" si="281"/>
        <v>346644502.34899998</v>
      </c>
      <c r="L515" s="61">
        <f>+J515/H515</f>
        <v>0.45799788124729385</v>
      </c>
      <c r="M515" s="60"/>
      <c r="N515" s="24"/>
      <c r="O515" s="9"/>
      <c r="Q515" s="63"/>
      <c r="AK515" s="64"/>
      <c r="AL515" s="64"/>
      <c r="AM515" s="64"/>
      <c r="AN515" s="64"/>
      <c r="AO515" s="11">
        <v>1216112</v>
      </c>
      <c r="AP515" s="65" t="str">
        <f t="shared" si="282"/>
        <v>12161129</v>
      </c>
    </row>
    <row r="516" spans="1:42" s="1" customFormat="1" ht="27.75" customHeight="1" thickTop="1" thickBot="1" x14ac:dyDescent="0.3">
      <c r="A516" s="50" t="s">
        <v>20</v>
      </c>
      <c r="B516" s="50" t="s">
        <v>20</v>
      </c>
      <c r="C516" s="50" t="s">
        <v>20</v>
      </c>
      <c r="D516" s="51">
        <v>1216115</v>
      </c>
      <c r="E516" s="67" t="s">
        <v>91</v>
      </c>
      <c r="F516" s="68" t="e">
        <f>SUMIF($B$517:$B$519,"article",F517:F519)</f>
        <v>#VALUE!</v>
      </c>
      <c r="G516" s="68" t="e">
        <f>SUMIF($B$517:$B$519,"article",G517:G519)</f>
        <v>#VALUE!</v>
      </c>
      <c r="H516" s="68">
        <f>SUMIF($B$517:$B$519,"article",H517:H519)</f>
        <v>8093833.0199999996</v>
      </c>
      <c r="I516" s="68">
        <v>8093833.0999999996</v>
      </c>
      <c r="J516" s="68">
        <f>SUMIF($B$517:$B$519,"article",J517:J519)</f>
        <v>7904971.0800000001</v>
      </c>
      <c r="K516" s="68">
        <f>SUMIF($B$517:$B$519,"article",K517:K519)</f>
        <v>188861.93999999901</v>
      </c>
      <c r="L516" s="69">
        <f>+J516/H516</f>
        <v>0.97666594559915942</v>
      </c>
      <c r="M516" s="68"/>
      <c r="N516" s="68"/>
      <c r="O516" s="9"/>
      <c r="Q516" s="23"/>
      <c r="AK516" s="70"/>
      <c r="AL516" s="70"/>
      <c r="AM516" s="70"/>
      <c r="AN516" s="70"/>
      <c r="AO516" s="11">
        <v>1216115</v>
      </c>
    </row>
    <row r="517" spans="1:42" s="62" customFormat="1" ht="27.75" customHeight="1" thickTop="1" thickBot="1" x14ac:dyDescent="0.3">
      <c r="A517" s="56" t="s">
        <v>22</v>
      </c>
      <c r="B517" s="56" t="s">
        <v>22</v>
      </c>
      <c r="C517" s="57">
        <f>IF(A516="SECTION",D516,C516)</f>
        <v>1216115</v>
      </c>
      <c r="D517" s="58">
        <v>1</v>
      </c>
      <c r="E517" s="59" t="str">
        <f>IF(D517=1, "DEPENSES DE PERSONNEL",  +IF(D517=2,"DEPENSES DE SERVICES ET CHARGES DIVERSES", +IF(D517=3,"ACHATS DE BIENS DE CONSOMMATION ET PETITS MATERIELS",+IF(D517=4,"IMMOBILISATION CORPORELLE",+IF(D517=5,"IMMOBILISATION INCORPORELLE",+IF(D517=7,"SUBVENTIONS,QUOTES-PARTS ET CONTRIB.,ALLOC, INDEMNISATIONS",+IF(D517=8,"AMORTISSEMENT DE LA DETTE",+IF(D517=9,"AUTRES DEPENSES PUBLIQUES",0))))))))</f>
        <v>DEPENSES DE PERSONNEL</v>
      </c>
      <c r="F517" s="60" t="e">
        <f>SUMIFS([49]mensuel_section_article1!$E$3:$E$962,[49]mensuel_section_article1!$B$3:$B$962,C517,[49]mensuel_section_article1!$C$3:$C$962,D517)</f>
        <v>#VALUE!</v>
      </c>
      <c r="G517" s="60" t="e">
        <f>SUMIFS([49]mensuel_section_article1!$G$3:$G$962,[49]mensuel_section_article1!$B$3:$B$962,C517,[49]mensuel_section_article1!$C$3:$C$962,D517)</f>
        <v>#VALUE!</v>
      </c>
      <c r="H517" s="60">
        <v>6907809.959999999</v>
      </c>
      <c r="I517" s="60">
        <v>6907810</v>
      </c>
      <c r="J517" s="60">
        <v>6880110</v>
      </c>
      <c r="K517" s="60">
        <f t="shared" ref="K517:K519" si="284">+H517-J517</f>
        <v>27699.959999999031</v>
      </c>
      <c r="L517" s="61">
        <f>+J517/H517</f>
        <v>0.99599005181665434</v>
      </c>
      <c r="M517" s="60"/>
      <c r="N517" s="24"/>
      <c r="O517" s="9"/>
      <c r="Q517" s="63"/>
      <c r="AK517" s="64"/>
      <c r="AL517" s="64"/>
      <c r="AM517" s="64"/>
      <c r="AN517" s="64"/>
      <c r="AO517" s="11">
        <v>1216115</v>
      </c>
      <c r="AP517" s="65" t="str">
        <f>CONCATENATE(AO517,D517)</f>
        <v>12161151</v>
      </c>
    </row>
    <row r="518" spans="1:42" s="62" customFormat="1" ht="27.75" customHeight="1" thickTop="1" thickBot="1" x14ac:dyDescent="0.3">
      <c r="A518" s="56" t="s">
        <v>22</v>
      </c>
      <c r="B518" s="56" t="s">
        <v>22</v>
      </c>
      <c r="C518" s="57">
        <f>IF(A516="SECTION",D516,C516)</f>
        <v>1216115</v>
      </c>
      <c r="D518" s="58">
        <v>2</v>
      </c>
      <c r="E518" s="59" t="str">
        <f>IF(D518=1, "DEPENSES DE PERSONNEL",  +IF(D518=2,"DEPENSES DE SERVICES ET CHARGES DIVERSES", +IF(D518=3,"ACHATS DE BIENS DE CONSOMMATION ET PETITS MATERIELS",+IF(D518=4,"IMMOBILISATION CORPORELLE",+IF(D518=5,"IMMOBILISATION INCORPORELLE",+IF(D518=7,"SUBVENTIONS,QUOTES-PARTS ET CONTRIB.,ALLOC, INDEMNISATIONS",+IF(D518=8,"AMORTISSEMENT DE LA DETTE",+IF(D518=9,"AUTRES DEPENSES PUBLIQUES",0))))))))</f>
        <v>DEPENSES DE SERVICES ET CHARGES DIVERSES</v>
      </c>
      <c r="F518" s="60" t="e">
        <f>SUMIFS([49]mensuel_section_article1!$E$3:$E$962,[49]mensuel_section_article1!$B$3:$B$962,C518,[49]mensuel_section_article1!$C$3:$C$962,D518)</f>
        <v>#VALUE!</v>
      </c>
      <c r="G518" s="60" t="e">
        <f>SUMIFS([49]mensuel_section_article1!$G$3:$G$962,[49]mensuel_section_article1!$B$3:$B$962,C518,[49]mensuel_section_article1!$C$3:$C$962,D518)</f>
        <v>#VALUE!</v>
      </c>
      <c r="H518" s="60">
        <v>1186023.06</v>
      </c>
      <c r="I518" s="60">
        <v>1186023.1000000001</v>
      </c>
      <c r="J518" s="60">
        <v>1024861.0800000001</v>
      </c>
      <c r="K518" s="60">
        <f t="shared" si="284"/>
        <v>161161.97999999998</v>
      </c>
      <c r="L518" s="61">
        <f>+J518/H518</f>
        <v>0.8641156437548525</v>
      </c>
      <c r="M518" s="60"/>
      <c r="N518" s="24"/>
      <c r="O518" s="9"/>
      <c r="Q518" s="63"/>
      <c r="AK518" s="64"/>
      <c r="AL518" s="64"/>
      <c r="AM518" s="64"/>
      <c r="AN518" s="64"/>
      <c r="AO518" s="11">
        <v>1216115</v>
      </c>
      <c r="AP518" s="65" t="str">
        <f>CONCATENATE(AO518,D518)</f>
        <v>12161152</v>
      </c>
    </row>
    <row r="519" spans="1:42" s="62" customFormat="1" ht="27.75" hidden="1" customHeight="1" thickTop="1" thickBot="1" x14ac:dyDescent="0.3">
      <c r="A519" s="56" t="s">
        <v>22</v>
      </c>
      <c r="B519" s="56" t="s">
        <v>22</v>
      </c>
      <c r="C519" s="57">
        <f>IF(A517="SECTION",D517,C517)</f>
        <v>1216115</v>
      </c>
      <c r="D519" s="58">
        <v>7</v>
      </c>
      <c r="E519" s="59" t="str">
        <f>IF(D519=1, "DEPENSES DE PERSONNEL",  +IF(D519=2,"DEPENSES DE SERVICES ET CHARGES DIVERSES", +IF(D519=3,"ACHATS DE BIENS DE CONSOMMATION ET PETITS MATERIELS",+IF(D519=4,"IMMOBILISATION CORPORELLE",+IF(D519=5,"IMMOBILISATION INCORPORELLE",+IF(D519=7,"SUBVENTIONS,QUOTES-PARTS ET CONTRIB.,ALLOC, INDEMNISATIONS",+IF(D519=8,"AMORTISSEMENT DE LA DETTE",+IF(D519=9,"AUTRES DEPENSES PUBLIQUES",0))))))))</f>
        <v>SUBVENTIONS,QUOTES-PARTS ET CONTRIB.,ALLOC, INDEMNISATIONS</v>
      </c>
      <c r="F519" s="60" t="e">
        <f>SUMIFS([49]mensuel_section_article1!$E$3:$E$962,[49]mensuel_section_article1!$B$3:$B$962,C519,[49]mensuel_section_article1!$C$3:$C$962,D519)</f>
        <v>#VALUE!</v>
      </c>
      <c r="G519" s="60" t="e">
        <f>SUMIFS([49]mensuel_section_article1!$G$3:$G$962,[49]mensuel_section_article1!$B$3:$B$962,C519,[49]mensuel_section_article1!$C$3:$C$962,D519)</f>
        <v>#VALUE!</v>
      </c>
      <c r="H519" s="60">
        <v>0</v>
      </c>
      <c r="I519" s="60">
        <v>0</v>
      </c>
      <c r="J519" s="60">
        <v>0</v>
      </c>
      <c r="K519" s="60">
        <f t="shared" si="284"/>
        <v>0</v>
      </c>
      <c r="L519" s="61" t="e">
        <f>IF(F519&lt;&gt;0,K519/F519,0)</f>
        <v>#VALUE!</v>
      </c>
      <c r="M519" s="60" t="e">
        <f>+SUMIFS([51]section_article!$H$10:$H$936,[51]section_article!$C$10:$C$936,C519,[51]section_article!$D$10:$D$936,D519)</f>
        <v>#VALUE!</v>
      </c>
      <c r="N519" s="24" t="e">
        <f>+J519-M519</f>
        <v>#VALUE!</v>
      </c>
      <c r="O519" s="9"/>
      <c r="Q519" s="63"/>
      <c r="AK519" s="64"/>
      <c r="AL519" s="64"/>
      <c r="AM519" s="64"/>
      <c r="AN519" s="64"/>
      <c r="AO519" s="11">
        <v>1216115</v>
      </c>
      <c r="AP519" s="65" t="str">
        <f>CONCATENATE(AO519,D519)</f>
        <v>12161157</v>
      </c>
    </row>
    <row r="520" spans="1:42" s="1" customFormat="1" ht="27.75" customHeight="1" thickTop="1" thickBot="1" x14ac:dyDescent="0.3">
      <c r="A520" s="50" t="s">
        <v>20</v>
      </c>
      <c r="B520" s="50" t="s">
        <v>20</v>
      </c>
      <c r="C520" s="50" t="s">
        <v>20</v>
      </c>
      <c r="D520" s="51">
        <v>1216117</v>
      </c>
      <c r="E520" s="67" t="s">
        <v>92</v>
      </c>
      <c r="F520" s="68" t="e">
        <f>SUMIF($B$521:$B$523,"article",F521:F523)</f>
        <v>#VALUE!</v>
      </c>
      <c r="G520" s="68" t="e">
        <f>SUMIF($B$521:$B$523,"article",G521:G523)</f>
        <v>#VALUE!</v>
      </c>
      <c r="H520" s="68">
        <f>SUMIF($B$521:$B$523,"article",H521:H523)</f>
        <v>479999990.25999999</v>
      </c>
      <c r="I520" s="68">
        <v>462634447.30000001</v>
      </c>
      <c r="J520" s="68">
        <f>SUMIF($B$521:$B$523,"article",J521:J523)</f>
        <v>452630255.55000001</v>
      </c>
      <c r="K520" s="68">
        <f>SUMIF($B$521:$B$523,"article",K521:K523)</f>
        <v>27369734.709999979</v>
      </c>
      <c r="L520" s="69">
        <f>+J520/H520</f>
        <v>0.94297971819713011</v>
      </c>
      <c r="M520" s="68"/>
      <c r="N520" s="68"/>
      <c r="O520" s="9"/>
      <c r="Q520" s="23"/>
      <c r="AK520" s="70"/>
      <c r="AL520" s="70"/>
      <c r="AM520" s="70"/>
      <c r="AN520" s="70"/>
      <c r="AO520" s="11">
        <v>1216117</v>
      </c>
    </row>
    <row r="521" spans="1:42" s="62" customFormat="1" ht="27.75" customHeight="1" thickTop="1" thickBot="1" x14ac:dyDescent="0.3">
      <c r="A521" s="56" t="s">
        <v>22</v>
      </c>
      <c r="B521" s="56" t="s">
        <v>22</v>
      </c>
      <c r="C521" s="57">
        <f>IF(A520="SECTION",D520,C520)</f>
        <v>1216117</v>
      </c>
      <c r="D521" s="58">
        <v>1</v>
      </c>
      <c r="E521" s="59" t="str">
        <f>IF(D521=1, "DEPENSES DE PERSONNEL",  +IF(D521=2,"DEPENSES DE SERVICES ET CHARGES DIVERSES", +IF(D521=3,"ACHATS DE BIENS DE CONSOMMATION ET PETITS MATERIELS",+IF(D521=4,"IMMOBILISATION CORPORELLE",+IF(D521=5,"IMMOBILISATION INCORPORELLE",+IF(D521=7,"SUBVENTIONS,QUOTES-PARTS ET CONTRIB.,ALLOC, INDEMNISATIONS",+IF(D521=8,"AMORTISSEMENT DE LA DETTE",+IF(D521=9,"AUTRES DEPENSES PUBLIQUES",0))))))))</f>
        <v>DEPENSES DE PERSONNEL</v>
      </c>
      <c r="F521" s="60" t="e">
        <f>SUMIFS([49]mensuel_section_article1!$E$3:$E$962,[49]mensuel_section_article1!$B$3:$B$962,C521,[49]mensuel_section_article1!$C$3:$C$962,D521)</f>
        <v>#VALUE!</v>
      </c>
      <c r="G521" s="60" t="e">
        <f>SUMIFS([49]mensuel_section_article1!$G$3:$G$962,[49]mensuel_section_article1!$B$3:$B$962,C521,[49]mensuel_section_article1!$C$3:$C$962,D521)</f>
        <v>#VALUE!</v>
      </c>
      <c r="H521" s="60">
        <v>261932507.39999998</v>
      </c>
      <c r="I521" s="60">
        <v>244566964.40000001</v>
      </c>
      <c r="J521" s="60">
        <v>234565053.53</v>
      </c>
      <c r="K521" s="60">
        <f t="shared" ref="K521:K523" si="285">+H521-J521</f>
        <v>27367453.869999975</v>
      </c>
      <c r="L521" s="61">
        <f>+J521/H521</f>
        <v>0.89551715385900221</v>
      </c>
      <c r="M521" s="60"/>
      <c r="N521" s="24"/>
      <c r="O521" s="9"/>
      <c r="Q521" s="63"/>
      <c r="AK521" s="64"/>
      <c r="AL521" s="64"/>
      <c r="AM521" s="64"/>
      <c r="AN521" s="64"/>
      <c r="AO521" s="11">
        <v>1216117</v>
      </c>
      <c r="AP521" s="65" t="str">
        <f>CONCATENATE(AO521,D521)</f>
        <v>12161171</v>
      </c>
    </row>
    <row r="522" spans="1:42" s="62" customFormat="1" ht="27.75" customHeight="1" thickTop="1" thickBot="1" x14ac:dyDescent="0.3">
      <c r="A522" s="56" t="s">
        <v>22</v>
      </c>
      <c r="B522" s="56" t="s">
        <v>22</v>
      </c>
      <c r="C522" s="57">
        <f>IF(A520="SECTION",D520,C520)</f>
        <v>1216117</v>
      </c>
      <c r="D522" s="58">
        <v>2</v>
      </c>
      <c r="E522" s="59" t="str">
        <f>IF(D522=1, "DEPENSES DE PERSONNEL",  +IF(D522=2,"DEPENSES DE SERVICES ET CHARGES DIVERSES", +IF(D522=3,"ACHATS DE BIENS DE CONSOMMATION ET PETITS MATERIELS",+IF(D522=4,"IMMOBILISATION CORPORELLE",+IF(D522=5,"IMMOBILISATION INCORPORELLE",+IF(D522=7,"SUBVENTIONS,QUOTES-PARTS ET CONTRIB.,ALLOC, INDEMNISATIONS",+IF(D522=8,"AMORTISSEMENT DE LA DETTE",+IF(D522=9,"AUTRES DEPENSES PUBLIQUES",0))))))))</f>
        <v>DEPENSES DE SERVICES ET CHARGES DIVERSES</v>
      </c>
      <c r="F522" s="60" t="e">
        <f>SUMIFS([49]mensuel_section_article1!$E$3:$E$962,[49]mensuel_section_article1!$B$3:$B$962,C522,[49]mensuel_section_article1!$C$3:$C$962,D522)</f>
        <v>#VALUE!</v>
      </c>
      <c r="G522" s="60" t="e">
        <f>SUMIFS([49]mensuel_section_article1!$G$3:$G$962,[49]mensuel_section_article1!$B$3:$B$962,C522,[49]mensuel_section_article1!$C$3:$C$962,D522)</f>
        <v>#VALUE!</v>
      </c>
      <c r="H522" s="60">
        <v>218067482.86000001</v>
      </c>
      <c r="I522" s="60">
        <v>218067482.90000001</v>
      </c>
      <c r="J522" s="60">
        <v>218065202.02000001</v>
      </c>
      <c r="K522" s="60">
        <f t="shared" si="285"/>
        <v>2280.8400000035763</v>
      </c>
      <c r="L522" s="61">
        <f>+J522/H522</f>
        <v>0.99998954066892465</v>
      </c>
      <c r="M522" s="60"/>
      <c r="N522" s="24"/>
      <c r="O522" s="9"/>
      <c r="Q522" s="63"/>
      <c r="AK522" s="64"/>
      <c r="AL522" s="64"/>
      <c r="AM522" s="64"/>
      <c r="AN522" s="64"/>
      <c r="AO522" s="11">
        <v>1216117</v>
      </c>
      <c r="AP522" s="65" t="str">
        <f>CONCATENATE(AO522,D522)</f>
        <v>12161172</v>
      </c>
    </row>
    <row r="523" spans="1:42" s="62" customFormat="1" ht="27.75" hidden="1" customHeight="1" thickTop="1" thickBot="1" x14ac:dyDescent="0.3">
      <c r="A523" s="56" t="s">
        <v>22</v>
      </c>
      <c r="B523" s="56" t="s">
        <v>22</v>
      </c>
      <c r="C523" s="57">
        <f>IF(A521="SECTION",D521,C521)</f>
        <v>1216117</v>
      </c>
      <c r="D523" s="58">
        <v>7</v>
      </c>
      <c r="E523" s="59" t="str">
        <f>IF(D523=1, "DEPENSES DE PERSONNEL",  +IF(D523=2,"DEPENSES DE SERVICES ET CHARGES DIVERSES", +IF(D523=3,"ACHATS DE BIENS DE CONSOMMATION ET PETITS MATERIELS",+IF(D523=4,"IMMOBILISATION CORPORELLE",+IF(D523=5,"IMMOBILISATION INCORPORELLE",+IF(D523=7,"SUBVENTIONS,QUOTES-PARTS ET CONTRIB.,ALLOC, INDEMNISATIONS",+IF(D523=8,"AMORTISSEMENT DE LA DETTE",+IF(D523=9,"AUTRES DEPENSES PUBLIQUES",0))))))))</f>
        <v>SUBVENTIONS,QUOTES-PARTS ET CONTRIB.,ALLOC, INDEMNISATIONS</v>
      </c>
      <c r="F523" s="60" t="e">
        <f>SUMIFS([49]mensuel_section_article1!$E$3:$E$962,[49]mensuel_section_article1!$B$3:$B$962,C523,[49]mensuel_section_article1!$C$3:$C$962,D523)</f>
        <v>#VALUE!</v>
      </c>
      <c r="G523" s="60" t="e">
        <f>SUMIFS([49]mensuel_section_article1!$G$3:$G$962,[49]mensuel_section_article1!$B$3:$B$962,C523,[49]mensuel_section_article1!$C$3:$C$962,D523)</f>
        <v>#VALUE!</v>
      </c>
      <c r="H523" s="60">
        <v>0</v>
      </c>
      <c r="I523" s="60">
        <v>0</v>
      </c>
      <c r="J523" s="60">
        <v>0</v>
      </c>
      <c r="K523" s="60">
        <f t="shared" si="285"/>
        <v>0</v>
      </c>
      <c r="L523" s="61" t="e">
        <f>IF(F523&lt;&gt;0,K523/F523,0)</f>
        <v>#VALUE!</v>
      </c>
      <c r="M523" s="60" t="e">
        <f>+SUMIFS([51]section_article!$H$10:$H$936,[51]section_article!$C$10:$C$936,C523,[51]section_article!$D$10:$D$936,D523)</f>
        <v>#VALUE!</v>
      </c>
      <c r="N523" s="24" t="e">
        <f>+J523-M523</f>
        <v>#VALUE!</v>
      </c>
      <c r="O523" s="9"/>
      <c r="Q523" s="63">
        <f>+Q521+Q522</f>
        <v>0</v>
      </c>
      <c r="AK523" s="64"/>
      <c r="AL523" s="64"/>
      <c r="AM523" s="64"/>
      <c r="AN523" s="64"/>
      <c r="AO523" s="11">
        <v>1216117</v>
      </c>
      <c r="AP523" s="65" t="str">
        <f>CONCATENATE(AO523,D523)</f>
        <v>12161177</v>
      </c>
    </row>
    <row r="524" spans="1:42" s="1" customFormat="1" ht="27.75" customHeight="1" thickTop="1" x14ac:dyDescent="0.25">
      <c r="A524" s="37" t="s">
        <v>16</v>
      </c>
      <c r="B524" s="37" t="s">
        <v>16</v>
      </c>
      <c r="C524" s="37" t="s">
        <v>16</v>
      </c>
      <c r="D524" s="73">
        <v>1217</v>
      </c>
      <c r="E524" s="74" t="s">
        <v>93</v>
      </c>
      <c r="F524" s="75" t="e">
        <f>SUMIF($B$525:$B$549,"chap",F525:F549)</f>
        <v>#VALUE!</v>
      </c>
      <c r="G524" s="75" t="e">
        <f>SUMIF($B$525:$B$549,"chap",G525:G549)</f>
        <v>#VALUE!</v>
      </c>
      <c r="H524" s="75">
        <f>SUMIF($B$525:$B$549,"chap",H525:H549)</f>
        <v>579464985.04999995</v>
      </c>
      <c r="I524" s="75">
        <v>612289631.20000005</v>
      </c>
      <c r="J524" s="75">
        <f>SUMIF($B$525:$B$549,"chap",J525:J549)</f>
        <v>530211822.13999999</v>
      </c>
      <c r="K524" s="75">
        <f>SUMIF($B$525:$B$549,"chap",K525:K549)</f>
        <v>49253162.909999982</v>
      </c>
      <c r="L524" s="76">
        <f t="shared" ref="L524:L529" si="286">+J524/H524</f>
        <v>0.9150023484063492</v>
      </c>
      <c r="M524" s="75"/>
      <c r="N524" s="75"/>
      <c r="O524" s="9"/>
      <c r="Q524" s="23"/>
      <c r="AK524" s="77"/>
      <c r="AL524" s="77"/>
      <c r="AM524" s="77"/>
      <c r="AN524" s="77"/>
      <c r="AO524" s="11"/>
    </row>
    <row r="525" spans="1:42" s="49" customFormat="1" ht="27.75" customHeight="1" x14ac:dyDescent="0.25">
      <c r="A525" s="43" t="s">
        <v>19</v>
      </c>
      <c r="B525" s="43" t="s">
        <v>19</v>
      </c>
      <c r="C525" s="43" t="s">
        <v>19</v>
      </c>
      <c r="D525" s="44">
        <v>12171</v>
      </c>
      <c r="E525" s="45" t="str">
        <f>VLOOKUP(D525,[49]INST!$A$1:$B$626,2,FALSE)</f>
        <v>SERVICES INTERNES</v>
      </c>
      <c r="F525" s="46" t="e">
        <f>SUMIF($B$525:$B$549,"section",F525:F549)</f>
        <v>#VALUE!</v>
      </c>
      <c r="G525" s="46" t="e">
        <f>SUMIF($B$525:$B$549,"section",G525:G549)</f>
        <v>#VALUE!</v>
      </c>
      <c r="H525" s="46">
        <f>SUMIF($B$525:$B$549,"section",H525:H549)</f>
        <v>579464985.04999995</v>
      </c>
      <c r="I525" s="46">
        <v>612289631.20000005</v>
      </c>
      <c r="J525" s="46">
        <f>SUMIF($B$525:$B$549,"section",J525:J549)</f>
        <v>530211822.13999999</v>
      </c>
      <c r="K525" s="46">
        <f>SUMIF($B$525:$B$549,"section",K525:K549)</f>
        <v>49253162.909999982</v>
      </c>
      <c r="L525" s="47">
        <f t="shared" si="286"/>
        <v>0.9150023484063492</v>
      </c>
      <c r="M525" s="46"/>
      <c r="N525" s="46"/>
      <c r="O525" s="48"/>
      <c r="AO525" s="11"/>
    </row>
    <row r="526" spans="1:42" s="1" customFormat="1" ht="27.75" customHeight="1" thickBot="1" x14ac:dyDescent="0.3">
      <c r="A526" s="50" t="s">
        <v>20</v>
      </c>
      <c r="B526" s="50" t="s">
        <v>20</v>
      </c>
      <c r="C526" s="50" t="s">
        <v>20</v>
      </c>
      <c r="D526" s="51">
        <v>1217111</v>
      </c>
      <c r="E526" s="67" t="s">
        <v>21</v>
      </c>
      <c r="F526" s="68" t="e">
        <f>SUMIF($B$527:$B$533,"article",F527:F533)</f>
        <v>#VALUE!</v>
      </c>
      <c r="G526" s="68" t="e">
        <f>SUMIF($B$527:$B$533,"article",G527:G533)</f>
        <v>#VALUE!</v>
      </c>
      <c r="H526" s="68">
        <f>SUMIF($B$527:$B$533,"article",H527:H533)</f>
        <v>142351211.01000002</v>
      </c>
      <c r="I526" s="68">
        <v>204446914.98999998</v>
      </c>
      <c r="J526" s="68">
        <f>SUMIF($B$527:$B$533,"article",J527:J533)</f>
        <v>153367887.50999999</v>
      </c>
      <c r="K526" s="68">
        <f>SUMIF($B$527:$B$533,"article",K527:K533)</f>
        <v>-11016676.5</v>
      </c>
      <c r="L526" s="69">
        <f t="shared" si="286"/>
        <v>1.0773908168524542</v>
      </c>
      <c r="M526" s="68"/>
      <c r="N526" s="68"/>
      <c r="O526" s="9"/>
      <c r="Q526" s="23"/>
      <c r="AK526" s="70"/>
      <c r="AL526" s="70"/>
      <c r="AM526" s="70"/>
      <c r="AN526" s="70"/>
      <c r="AO526" s="11">
        <v>1217111</v>
      </c>
    </row>
    <row r="527" spans="1:42" s="62" customFormat="1" ht="27.75" customHeight="1" thickTop="1" thickBot="1" x14ac:dyDescent="0.3">
      <c r="A527" s="56" t="s">
        <v>22</v>
      </c>
      <c r="B527" s="56" t="s">
        <v>22</v>
      </c>
      <c r="C527" s="57">
        <f t="shared" ref="C527:C533" si="287">IF(A526="SECTION",D526,C526)</f>
        <v>1217111</v>
      </c>
      <c r="D527" s="58">
        <v>1</v>
      </c>
      <c r="E527" s="59" t="str">
        <f t="shared" ref="E527:E533" si="288">IF(D527=1, "DEPENSES DE PERSONNEL",  +IF(D527=2,"DEPENSES DE SERVICES ET CHARGES DIVERSES", +IF(D527=3,"ACHATS DE BIENS DE CONSOMMATION ET PETITS MATERIELS",+IF(D527=4,"IMMOBILISATION CORPORELLE",+IF(D527=5,"IMMOBILISATION INCORPORELLE",+IF(D527=7,"SUBVENTIONS,QUOTES-PARTS ET CONTRIB.,ALLOC, INDEMNISATIONS",+IF(D527=8,"AMORTISSEMENT DE LA DETTE",+IF(D527=9,"AUTRES DEPENSES PUBLIQUES",0))))))))</f>
        <v>DEPENSES DE PERSONNEL</v>
      </c>
      <c r="F527" s="60" t="e">
        <f>SUMIFS([49]mensuel_section_article1!$E$3:$E$962,[49]mensuel_section_article1!$B$3:$B$962,C527,[49]mensuel_section_article1!$C$3:$C$962,D527)</f>
        <v>#VALUE!</v>
      </c>
      <c r="G527" s="60" t="e">
        <f>SUMIFS([49]mensuel_section_article1!$G$3:$G$962,[49]mensuel_section_article1!$B$3:$B$962,C527,[49]mensuel_section_article1!$C$3:$C$962,D527)</f>
        <v>#VALUE!</v>
      </c>
      <c r="H527" s="60">
        <v>77826100</v>
      </c>
      <c r="I527" s="60">
        <v>90683989.429999992</v>
      </c>
      <c r="J527" s="60">
        <v>57859319.590000004</v>
      </c>
      <c r="K527" s="60">
        <f t="shared" ref="K527:K533" si="289">+H527-J527</f>
        <v>19966780.409999996</v>
      </c>
      <c r="L527" s="61">
        <f t="shared" si="286"/>
        <v>0.74344364666866258</v>
      </c>
      <c r="M527" s="60"/>
      <c r="N527" s="24"/>
      <c r="O527" s="9"/>
      <c r="Q527" s="63"/>
      <c r="AK527" s="64"/>
      <c r="AL527" s="64"/>
      <c r="AM527" s="64"/>
      <c r="AN527" s="64"/>
      <c r="AO527" s="11">
        <v>1217111</v>
      </c>
      <c r="AP527" s="65" t="str">
        <f t="shared" ref="AP527:AP533" si="290">CONCATENATE(AO527,D527)</f>
        <v>12171111</v>
      </c>
    </row>
    <row r="528" spans="1:42" s="62" customFormat="1" ht="27.75" customHeight="1" thickTop="1" thickBot="1" x14ac:dyDescent="0.3">
      <c r="A528" s="56" t="s">
        <v>22</v>
      </c>
      <c r="B528" s="56" t="s">
        <v>22</v>
      </c>
      <c r="C528" s="57">
        <f t="shared" si="287"/>
        <v>1217111</v>
      </c>
      <c r="D528" s="58">
        <v>2</v>
      </c>
      <c r="E528" s="59" t="str">
        <f t="shared" si="288"/>
        <v>DEPENSES DE SERVICES ET CHARGES DIVERSES</v>
      </c>
      <c r="F528" s="60" t="e">
        <f>SUMIFS([49]mensuel_section_article1!$E$3:$E$962,[49]mensuel_section_article1!$B$3:$B$962,C528,[49]mensuel_section_article1!$C$3:$C$962,D528)</f>
        <v>#VALUE!</v>
      </c>
      <c r="G528" s="60" t="e">
        <f>SUMIFS([49]mensuel_section_article1!$G$3:$G$962,[49]mensuel_section_article1!$B$3:$B$962,C528,[49]mensuel_section_article1!$C$3:$C$962,D528)</f>
        <v>#VALUE!</v>
      </c>
      <c r="H528" s="60">
        <v>14999006.999999998</v>
      </c>
      <c r="I528" s="60">
        <v>33713042.219999999</v>
      </c>
      <c r="J528" s="60">
        <v>33713014.670000002</v>
      </c>
      <c r="K528" s="60">
        <f t="shared" si="289"/>
        <v>-18714007.670000002</v>
      </c>
      <c r="L528" s="61">
        <f t="shared" si="286"/>
        <v>2.2476831079550803</v>
      </c>
      <c r="M528" s="60"/>
      <c r="N528" s="24"/>
      <c r="O528" s="9"/>
      <c r="Q528" s="63"/>
      <c r="AK528" s="64"/>
      <c r="AL528" s="64"/>
      <c r="AM528" s="64"/>
      <c r="AN528" s="64"/>
      <c r="AO528" s="11">
        <v>1217111</v>
      </c>
      <c r="AP528" s="65" t="str">
        <f t="shared" si="290"/>
        <v>12171112</v>
      </c>
    </row>
    <row r="529" spans="1:42" s="62" customFormat="1" ht="27.75" customHeight="1" thickTop="1" thickBot="1" x14ac:dyDescent="0.3">
      <c r="A529" s="56" t="s">
        <v>22</v>
      </c>
      <c r="B529" s="56" t="s">
        <v>22</v>
      </c>
      <c r="C529" s="57">
        <f t="shared" si="287"/>
        <v>1217111</v>
      </c>
      <c r="D529" s="58">
        <v>3</v>
      </c>
      <c r="E529" s="59" t="str">
        <f t="shared" si="288"/>
        <v>ACHATS DE BIENS DE CONSOMMATION ET PETITS MATERIELS</v>
      </c>
      <c r="F529" s="60" t="e">
        <f>SUMIFS([49]mensuel_section_article1!$E$3:$E$962,[49]mensuel_section_article1!$B$3:$B$962,C529,[49]mensuel_section_article1!$C$3:$C$962,D529)</f>
        <v>#VALUE!</v>
      </c>
      <c r="G529" s="60" t="e">
        <f>SUMIFS([49]mensuel_section_article1!$G$3:$G$962,[49]mensuel_section_article1!$B$3:$B$962,C529,[49]mensuel_section_article1!$C$3:$C$962,D529)</f>
        <v>#VALUE!</v>
      </c>
      <c r="H529" s="60">
        <v>4993572</v>
      </c>
      <c r="I529" s="60">
        <v>28103832.240000002</v>
      </c>
      <c r="J529" s="60">
        <v>28103828.25</v>
      </c>
      <c r="K529" s="60">
        <f t="shared" si="289"/>
        <v>-23110256.25</v>
      </c>
      <c r="L529" s="61">
        <f t="shared" si="286"/>
        <v>5.6280010080960086</v>
      </c>
      <c r="M529" s="60"/>
      <c r="N529" s="24"/>
      <c r="O529" s="9"/>
      <c r="Q529" s="63"/>
      <c r="AK529" s="64"/>
      <c r="AL529" s="64"/>
      <c r="AM529" s="64"/>
      <c r="AN529" s="64"/>
      <c r="AO529" s="11">
        <v>1217111</v>
      </c>
      <c r="AP529" s="65" t="str">
        <f t="shared" si="290"/>
        <v>12171113</v>
      </c>
    </row>
    <row r="530" spans="1:42" s="62" customFormat="1" ht="27.75" hidden="1" customHeight="1" thickTop="1" thickBot="1" x14ac:dyDescent="0.3">
      <c r="A530" s="56" t="s">
        <v>22</v>
      </c>
      <c r="B530" s="56" t="s">
        <v>22</v>
      </c>
      <c r="C530" s="57">
        <f t="shared" si="287"/>
        <v>1217111</v>
      </c>
      <c r="D530" s="58">
        <v>4</v>
      </c>
      <c r="E530" s="59" t="str">
        <f t="shared" si="288"/>
        <v>IMMOBILISATION CORPORELLE</v>
      </c>
      <c r="F530" s="60" t="e">
        <f>SUMIFS([49]mensuel_section_article1!$E$3:$E$962,[49]mensuel_section_article1!$B$3:$B$962,C530,[49]mensuel_section_article1!$C$3:$C$962,D530)</f>
        <v>#VALUE!</v>
      </c>
      <c r="G530" s="60" t="e">
        <f>SUMIFS([49]mensuel_section_article1!$G$3:$G$962,[49]mensuel_section_article1!$B$3:$B$962,C530,[49]mensuel_section_article1!$C$3:$C$962,D530)</f>
        <v>#VALUE!</v>
      </c>
      <c r="H530" s="60">
        <v>0</v>
      </c>
      <c r="I530" s="60">
        <v>0</v>
      </c>
      <c r="J530" s="60">
        <v>0</v>
      </c>
      <c r="K530" s="60">
        <f t="shared" si="289"/>
        <v>0</v>
      </c>
      <c r="L530" s="61" t="e">
        <f>IF(F530&lt;&gt;0,K530/F530,0)</f>
        <v>#VALUE!</v>
      </c>
      <c r="M530" s="60" t="e">
        <f>+SUMIFS([51]section_article!$H$10:$H$936,[51]section_article!$C$10:$C$936,C530,[51]section_article!$D$10:$D$936,D530)</f>
        <v>#VALUE!</v>
      </c>
      <c r="N530" s="24" t="e">
        <f t="shared" ref="N527:N533" si="291">+J530-M530</f>
        <v>#VALUE!</v>
      </c>
      <c r="O530" s="9"/>
      <c r="Q530" s="63"/>
      <c r="AK530" s="64"/>
      <c r="AL530" s="64"/>
      <c r="AM530" s="64"/>
      <c r="AN530" s="64"/>
      <c r="AO530" s="11">
        <v>1217111</v>
      </c>
      <c r="AP530" s="65" t="str">
        <f t="shared" si="290"/>
        <v>12171114</v>
      </c>
    </row>
    <row r="531" spans="1:42" s="62" customFormat="1" ht="27.75" hidden="1" customHeight="1" thickTop="1" thickBot="1" x14ac:dyDescent="0.3">
      <c r="A531" s="56" t="s">
        <v>22</v>
      </c>
      <c r="B531" s="56" t="s">
        <v>22</v>
      </c>
      <c r="C531" s="57">
        <f t="shared" si="287"/>
        <v>1217111</v>
      </c>
      <c r="D531" s="58">
        <v>5</v>
      </c>
      <c r="E531" s="59" t="str">
        <f t="shared" si="288"/>
        <v>IMMOBILISATION INCORPORELLE</v>
      </c>
      <c r="F531" s="60" t="e">
        <f>SUMIFS([49]mensuel_section_article1!$E$3:$E$962,[49]mensuel_section_article1!$B$3:$B$962,C531,[49]mensuel_section_article1!$C$3:$C$962,D531)</f>
        <v>#VALUE!</v>
      </c>
      <c r="G531" s="60" t="e">
        <f>SUMIFS([49]mensuel_section_article1!$G$3:$G$962,[49]mensuel_section_article1!$B$3:$B$962,C531,[49]mensuel_section_article1!$C$3:$C$962,D531)</f>
        <v>#VALUE!</v>
      </c>
      <c r="H531" s="60">
        <v>0</v>
      </c>
      <c r="I531" s="60">
        <v>0</v>
      </c>
      <c r="J531" s="60">
        <v>0</v>
      </c>
      <c r="K531" s="60">
        <f t="shared" si="289"/>
        <v>0</v>
      </c>
      <c r="L531" s="61" t="e">
        <f>IF(F531&lt;&gt;0,K531/F531,0)</f>
        <v>#VALUE!</v>
      </c>
      <c r="M531" s="60" t="e">
        <f>+SUMIFS([51]section_article!$H$10:$H$936,[51]section_article!$C$10:$C$936,C531,[51]section_article!$D$10:$D$936,D531)</f>
        <v>#VALUE!</v>
      </c>
      <c r="N531" s="24" t="e">
        <f t="shared" si="291"/>
        <v>#VALUE!</v>
      </c>
      <c r="O531" s="9"/>
      <c r="Q531" s="63"/>
      <c r="AK531" s="64"/>
      <c r="AL531" s="64"/>
      <c r="AM531" s="64"/>
      <c r="AN531" s="64"/>
      <c r="AO531" s="11">
        <v>1217111</v>
      </c>
      <c r="AP531" s="65" t="str">
        <f t="shared" si="290"/>
        <v>12171115</v>
      </c>
    </row>
    <row r="532" spans="1:42" s="62" customFormat="1" ht="27.75" customHeight="1" thickTop="1" thickBot="1" x14ac:dyDescent="0.3">
      <c r="A532" s="56" t="s">
        <v>22</v>
      </c>
      <c r="B532" s="56" t="s">
        <v>22</v>
      </c>
      <c r="C532" s="57">
        <f t="shared" si="287"/>
        <v>1217111</v>
      </c>
      <c r="D532" s="58">
        <v>7</v>
      </c>
      <c r="E532" s="59" t="str">
        <f t="shared" si="288"/>
        <v>SUBVENTIONS,QUOTES-PARTS ET CONTRIB.,ALLOC, INDEMNISATIONS</v>
      </c>
      <c r="F532" s="60" t="e">
        <f>SUMIFS([49]mensuel_section_article1!$E$3:$E$962,[49]mensuel_section_article1!$B$3:$B$962,C532,[49]mensuel_section_article1!$C$3:$C$962,D532)</f>
        <v>#VALUE!</v>
      </c>
      <c r="G532" s="60" t="e">
        <f>SUMIFS([49]mensuel_section_article1!$G$3:$G$962,[49]mensuel_section_article1!$B$3:$B$962,C532,[49]mensuel_section_article1!$C$3:$C$962,D532)</f>
        <v>#VALUE!</v>
      </c>
      <c r="H532" s="60">
        <v>35032531.960000001</v>
      </c>
      <c r="I532" s="60">
        <v>43894034</v>
      </c>
      <c r="J532" s="60">
        <v>25820875</v>
      </c>
      <c r="K532" s="60">
        <f t="shared" si="289"/>
        <v>9211656.9600000009</v>
      </c>
      <c r="L532" s="61">
        <f t="shared" ref="L532:L541" si="292">+J532/H532</f>
        <v>0.73705420520224363</v>
      </c>
      <c r="M532" s="60"/>
      <c r="N532" s="24"/>
      <c r="O532" s="9"/>
      <c r="Q532" s="63"/>
      <c r="AK532" s="64"/>
      <c r="AL532" s="64"/>
      <c r="AM532" s="64"/>
      <c r="AN532" s="64"/>
      <c r="AO532" s="11">
        <v>1217111</v>
      </c>
      <c r="AP532" s="65" t="str">
        <f t="shared" si="290"/>
        <v>12171117</v>
      </c>
    </row>
    <row r="533" spans="1:42" s="62" customFormat="1" ht="27.75" customHeight="1" thickTop="1" thickBot="1" x14ac:dyDescent="0.3">
      <c r="A533" s="56" t="s">
        <v>22</v>
      </c>
      <c r="B533" s="56" t="s">
        <v>22</v>
      </c>
      <c r="C533" s="57">
        <f t="shared" si="287"/>
        <v>1217111</v>
      </c>
      <c r="D533" s="58">
        <v>9</v>
      </c>
      <c r="E533" s="59" t="str">
        <f t="shared" si="288"/>
        <v>AUTRES DEPENSES PUBLIQUES</v>
      </c>
      <c r="F533" s="60" t="e">
        <f>SUMIFS([49]mensuel_section_article1!$E$3:$E$962,[49]mensuel_section_article1!$B$3:$B$962,C533,[49]mensuel_section_article1!$C$3:$C$962,D533)</f>
        <v>#VALUE!</v>
      </c>
      <c r="G533" s="60" t="e">
        <f>SUMIFS([49]mensuel_section_article1!$G$3:$G$962,[49]mensuel_section_article1!$B$3:$B$962,C533,[49]mensuel_section_article1!$C$3:$C$962,D533)</f>
        <v>#VALUE!</v>
      </c>
      <c r="H533" s="60">
        <v>9500000.0500000045</v>
      </c>
      <c r="I533" s="60">
        <v>8052017.0999999996</v>
      </c>
      <c r="J533" s="60">
        <v>7870850</v>
      </c>
      <c r="K533" s="60">
        <f t="shared" si="289"/>
        <v>1629150.0500000045</v>
      </c>
      <c r="L533" s="61">
        <f t="shared" si="292"/>
        <v>0.82851052195520736</v>
      </c>
      <c r="M533" s="60"/>
      <c r="N533" s="24"/>
      <c r="O533" s="9"/>
      <c r="Q533" s="63"/>
      <c r="AK533" s="64"/>
      <c r="AL533" s="64"/>
      <c r="AM533" s="64"/>
      <c r="AN533" s="64"/>
      <c r="AO533" s="11">
        <v>1217111</v>
      </c>
      <c r="AP533" s="65" t="str">
        <f t="shared" si="290"/>
        <v>12171119</v>
      </c>
    </row>
    <row r="534" spans="1:42" s="1" customFormat="1" ht="27.75" customHeight="1" thickTop="1" thickBot="1" x14ac:dyDescent="0.3">
      <c r="A534" s="50" t="s">
        <v>20</v>
      </c>
      <c r="B534" s="50" t="s">
        <v>20</v>
      </c>
      <c r="C534" s="50" t="s">
        <v>20</v>
      </c>
      <c r="D534" s="51">
        <v>1217112</v>
      </c>
      <c r="E534" s="67" t="s">
        <v>23</v>
      </c>
      <c r="F534" s="68" t="e">
        <f>SUMIF($B$543:$B$549,"article",F535:F541)</f>
        <v>#VALUE!</v>
      </c>
      <c r="G534" s="68" t="e">
        <f>SUMIF($B$535:$B$541,"article",G535:G541)</f>
        <v>#VALUE!</v>
      </c>
      <c r="H534" s="68">
        <f>SUMIF($B$535:$B$541,"article",H535:H541)</f>
        <v>437113774.03999996</v>
      </c>
      <c r="I534" s="68">
        <v>407842716.21000004</v>
      </c>
      <c r="J534" s="68">
        <f>SUMIF($B$535:$B$541,"article",J535:J541)</f>
        <v>376843934.63</v>
      </c>
      <c r="K534" s="68">
        <f>SUMIF($B$535:$B$541,"article",K535:K541)</f>
        <v>60269839.409999982</v>
      </c>
      <c r="L534" s="69">
        <f t="shared" si="292"/>
        <v>0.86211864510020053</v>
      </c>
      <c r="M534" s="68"/>
      <c r="N534" s="68"/>
      <c r="O534" s="9"/>
      <c r="Q534" s="23"/>
      <c r="AK534" s="70"/>
      <c r="AL534" s="70"/>
      <c r="AM534" s="70"/>
      <c r="AN534" s="70"/>
      <c r="AO534" s="11">
        <v>1217112</v>
      </c>
    </row>
    <row r="535" spans="1:42" s="62" customFormat="1" ht="27.75" customHeight="1" thickTop="1" thickBot="1" x14ac:dyDescent="0.3">
      <c r="A535" s="56" t="s">
        <v>22</v>
      </c>
      <c r="B535" s="56" t="s">
        <v>22</v>
      </c>
      <c r="C535" s="57">
        <f t="shared" ref="C535:C541" si="293">IF(A534="SECTION",D534,C534)</f>
        <v>1217112</v>
      </c>
      <c r="D535" s="58">
        <v>1</v>
      </c>
      <c r="E535" s="59" t="str">
        <f t="shared" ref="E535:E541" si="294">IF(D535=1, "DEPENSES DE PERSONNEL",  +IF(D535=2,"DEPENSES DE SERVICES ET CHARGES DIVERSES", +IF(D535=3,"ACHATS DE BIENS DE CONSOMMATION ET PETITS MATERIELS",+IF(D535=4,"IMMOBILISATION CORPORELLE",+IF(D535=5,"IMMOBILISATION INCORPORELLE",+IF(D535=7,"SUBVENTIONS,QUOTES-PARTS ET CONTRIB.,ALLOC, INDEMNISATIONS",+IF(D535=8,"AMORTISSEMENT DE LA DETTE",+IF(D535=9,"AUTRES DEPENSES PUBLIQUES",0))))))))</f>
        <v>DEPENSES DE PERSONNEL</v>
      </c>
      <c r="F535" s="60" t="e">
        <f>SUMIFS([49]mensuel_section_article1!$E$3:$E$962,[49]mensuel_section_article1!$B$3:$B$962,C535,[49]mensuel_section_article1!$C$3:$C$962,D535)</f>
        <v>#VALUE!</v>
      </c>
      <c r="G535" s="60" t="e">
        <f>SUMIFS([49]mensuel_section_article1!$G$3:$G$962,[49]mensuel_section_article1!$B$3:$B$962,C535,[49]mensuel_section_article1!$C$3:$C$962,D535)</f>
        <v>#VALUE!</v>
      </c>
      <c r="H535" s="60">
        <v>133912356.97999997</v>
      </c>
      <c r="I535" s="60">
        <v>153879113.56999999</v>
      </c>
      <c r="J535" s="60">
        <v>153879025.19</v>
      </c>
      <c r="K535" s="60">
        <f t="shared" ref="K535:K541" si="295">+H535-J535</f>
        <v>-19966668.210000023</v>
      </c>
      <c r="L535" s="61">
        <f t="shared" si="292"/>
        <v>1.1491025074928827</v>
      </c>
      <c r="M535" s="60"/>
      <c r="N535" s="24"/>
      <c r="O535" s="9"/>
      <c r="Q535" s="63"/>
      <c r="AK535" s="64"/>
      <c r="AL535" s="64"/>
      <c r="AM535" s="64"/>
      <c r="AN535" s="64"/>
      <c r="AO535" s="11">
        <v>1217112</v>
      </c>
      <c r="AP535" s="65" t="str">
        <f t="shared" ref="AP535:AP541" si="296">CONCATENATE(AO535,D535)</f>
        <v>12171121</v>
      </c>
    </row>
    <row r="536" spans="1:42" s="62" customFormat="1" ht="27.75" customHeight="1" thickTop="1" thickBot="1" x14ac:dyDescent="0.3">
      <c r="A536" s="56" t="s">
        <v>22</v>
      </c>
      <c r="B536" s="56" t="s">
        <v>22</v>
      </c>
      <c r="C536" s="57">
        <f t="shared" si="293"/>
        <v>1217112</v>
      </c>
      <c r="D536" s="58">
        <v>2</v>
      </c>
      <c r="E536" s="59" t="str">
        <f t="shared" si="294"/>
        <v>DEPENSES DE SERVICES ET CHARGES DIVERSES</v>
      </c>
      <c r="F536" s="60" t="e">
        <f>SUMIFS([49]mensuel_section_article1!$E$3:$E$962,[49]mensuel_section_article1!$B$3:$B$962,C536,[49]mensuel_section_article1!$C$3:$C$962,D536)</f>
        <v>#VALUE!</v>
      </c>
      <c r="G536" s="60" t="e">
        <f>SUMIFS([49]mensuel_section_article1!$G$3:$G$962,[49]mensuel_section_article1!$B$3:$B$962,C536,[49]mensuel_section_article1!$C$3:$C$962,D536)</f>
        <v>#VALUE!</v>
      </c>
      <c r="H536" s="60">
        <v>15740911.690000001</v>
      </c>
      <c r="I536" s="60">
        <v>18841930.919999998</v>
      </c>
      <c r="J536" s="60">
        <v>18840916.960000001</v>
      </c>
      <c r="K536" s="60">
        <f t="shared" si="295"/>
        <v>-3100005.2699999996</v>
      </c>
      <c r="L536" s="61">
        <f t="shared" si="292"/>
        <v>1.1969393724487631</v>
      </c>
      <c r="M536" s="60"/>
      <c r="N536" s="24"/>
      <c r="O536" s="9"/>
      <c r="Q536" s="63"/>
      <c r="AK536" s="64"/>
      <c r="AL536" s="64"/>
      <c r="AM536" s="64"/>
      <c r="AN536" s="64"/>
      <c r="AO536" s="11">
        <v>1217112</v>
      </c>
      <c r="AP536" s="65" t="str">
        <f t="shared" si="296"/>
        <v>12171122</v>
      </c>
    </row>
    <row r="537" spans="1:42" s="62" customFormat="1" ht="27.75" customHeight="1" thickTop="1" thickBot="1" x14ac:dyDescent="0.3">
      <c r="A537" s="56" t="s">
        <v>22</v>
      </c>
      <c r="B537" s="56" t="s">
        <v>22</v>
      </c>
      <c r="C537" s="57">
        <f t="shared" si="293"/>
        <v>1217112</v>
      </c>
      <c r="D537" s="58">
        <v>3</v>
      </c>
      <c r="E537" s="59" t="str">
        <f t="shared" si="294"/>
        <v>ACHATS DE BIENS DE CONSOMMATION ET PETITS MATERIELS</v>
      </c>
      <c r="F537" s="60" t="e">
        <f>SUMIFS([49]mensuel_section_article1!$E$3:$E$962,[49]mensuel_section_article1!$B$3:$B$962,C537,[49]mensuel_section_article1!$C$3:$C$962,D537)</f>
        <v>#VALUE!</v>
      </c>
      <c r="G537" s="60" t="e">
        <f>SUMIFS([49]mensuel_section_article1!$G$3:$G$962,[49]mensuel_section_article1!$B$3:$B$962,C537,[49]mensuel_section_article1!$C$3:$C$962,D537)</f>
        <v>#VALUE!</v>
      </c>
      <c r="H537" s="60">
        <v>11953367.999999998</v>
      </c>
      <c r="I537" s="60">
        <v>66090293.350000001</v>
      </c>
      <c r="J537" s="60">
        <v>65270917.479999989</v>
      </c>
      <c r="K537" s="60">
        <f t="shared" si="295"/>
        <v>-53317549.479999989</v>
      </c>
      <c r="L537" s="61">
        <f t="shared" si="292"/>
        <v>5.4604624805326836</v>
      </c>
      <c r="M537" s="60"/>
      <c r="N537" s="24"/>
      <c r="O537" s="9"/>
      <c r="Q537" s="63"/>
      <c r="AK537" s="64"/>
      <c r="AL537" s="64"/>
      <c r="AM537" s="64"/>
      <c r="AN537" s="64"/>
      <c r="AO537" s="11">
        <v>1217112</v>
      </c>
      <c r="AP537" s="65" t="str">
        <f t="shared" si="296"/>
        <v>12171123</v>
      </c>
    </row>
    <row r="538" spans="1:42" s="62" customFormat="1" ht="27.75" customHeight="1" thickTop="1" thickBot="1" x14ac:dyDescent="0.3">
      <c r="A538" s="56" t="s">
        <v>22</v>
      </c>
      <c r="B538" s="56" t="s">
        <v>22</v>
      </c>
      <c r="C538" s="57">
        <f t="shared" si="293"/>
        <v>1217112</v>
      </c>
      <c r="D538" s="58">
        <v>4</v>
      </c>
      <c r="E538" s="59" t="str">
        <f t="shared" si="294"/>
        <v>IMMOBILISATION CORPORELLE</v>
      </c>
      <c r="F538" s="60" t="e">
        <f>SUMIFS([49]mensuel_section_article1!$E$3:$E$962,[49]mensuel_section_article1!$B$3:$B$962,C538,[49]mensuel_section_article1!$C$3:$C$962,D538)</f>
        <v>#VALUE!</v>
      </c>
      <c r="G538" s="60" t="e">
        <f>SUMIFS([49]mensuel_section_article1!$G$3:$G$962,[49]mensuel_section_article1!$B$3:$B$962,C538,[49]mensuel_section_article1!$C$3:$C$962,D538)</f>
        <v>#VALUE!</v>
      </c>
      <c r="H538" s="60">
        <v>33707643.289999999</v>
      </c>
      <c r="I538" s="60">
        <v>43970820.990000002</v>
      </c>
      <c r="J538" s="60">
        <v>41934914.5</v>
      </c>
      <c r="K538" s="60">
        <f t="shared" si="295"/>
        <v>-8227271.2100000009</v>
      </c>
      <c r="L538" s="61">
        <f t="shared" si="292"/>
        <v>1.2440773191770655</v>
      </c>
      <c r="M538" s="60"/>
      <c r="N538" s="24"/>
      <c r="O538" s="9"/>
      <c r="Q538" s="63"/>
      <c r="AK538" s="64"/>
      <c r="AL538" s="64"/>
      <c r="AM538" s="64"/>
      <c r="AN538" s="64"/>
      <c r="AO538" s="11">
        <v>1217112</v>
      </c>
      <c r="AP538" s="65" t="str">
        <f t="shared" si="296"/>
        <v>12171124</v>
      </c>
    </row>
    <row r="539" spans="1:42" s="62" customFormat="1" ht="27.75" customHeight="1" thickTop="1" thickBot="1" x14ac:dyDescent="0.3">
      <c r="A539" s="56" t="s">
        <v>22</v>
      </c>
      <c r="B539" s="56" t="s">
        <v>22</v>
      </c>
      <c r="C539" s="57">
        <f t="shared" si="293"/>
        <v>1217112</v>
      </c>
      <c r="D539" s="58">
        <v>5</v>
      </c>
      <c r="E539" s="59" t="str">
        <f t="shared" si="294"/>
        <v>IMMOBILISATION INCORPORELLE</v>
      </c>
      <c r="F539" s="60" t="e">
        <f>SUMIFS([49]mensuel_section_article1!$E$3:$E$962,[49]mensuel_section_article1!$B$3:$B$962,C539,[49]mensuel_section_article1!$C$3:$C$962,D539)</f>
        <v>#VALUE!</v>
      </c>
      <c r="G539" s="60" t="e">
        <f>SUMIFS([49]mensuel_section_article1!$G$3:$G$962,[49]mensuel_section_article1!$B$3:$B$962,C539,[49]mensuel_section_article1!$C$3:$C$962,D539)</f>
        <v>#VALUE!</v>
      </c>
      <c r="H539" s="60">
        <v>858538</v>
      </c>
      <c r="I539" s="60">
        <v>658538.01</v>
      </c>
      <c r="J539" s="60">
        <v>467962</v>
      </c>
      <c r="K539" s="60">
        <f t="shared" si="295"/>
        <v>390576</v>
      </c>
      <c r="L539" s="61">
        <f t="shared" si="292"/>
        <v>0.54506847687580517</v>
      </c>
      <c r="M539" s="60"/>
      <c r="N539" s="24"/>
      <c r="O539" s="9"/>
      <c r="Q539" s="63"/>
      <c r="AK539" s="64"/>
      <c r="AL539" s="64"/>
      <c r="AM539" s="64"/>
      <c r="AN539" s="64"/>
      <c r="AO539" s="11">
        <v>1217112</v>
      </c>
      <c r="AP539" s="65" t="str">
        <f t="shared" si="296"/>
        <v>12171125</v>
      </c>
    </row>
    <row r="540" spans="1:42" s="62" customFormat="1" ht="27.75" customHeight="1" thickTop="1" thickBot="1" x14ac:dyDescent="0.3">
      <c r="A540" s="56" t="s">
        <v>22</v>
      </c>
      <c r="B540" s="56" t="s">
        <v>22</v>
      </c>
      <c r="C540" s="57">
        <f t="shared" si="293"/>
        <v>1217112</v>
      </c>
      <c r="D540" s="58">
        <v>7</v>
      </c>
      <c r="E540" s="59" t="str">
        <f t="shared" si="294"/>
        <v>SUBVENTIONS,QUOTES-PARTS ET CONTRIB.,ALLOC, INDEMNISATIONS</v>
      </c>
      <c r="F540" s="60" t="e">
        <f>SUMIFS([49]mensuel_section_article1!$E$3:$E$962,[49]mensuel_section_article1!$B$3:$B$962,C540,[49]mensuel_section_article1!$C$3:$C$962,D540)</f>
        <v>#VALUE!</v>
      </c>
      <c r="G540" s="60" t="e">
        <f>SUMIFS([49]mensuel_section_article1!$G$3:$G$962,[49]mensuel_section_article1!$B$3:$B$962,C540,[49]mensuel_section_article1!$C$3:$C$962,D540)</f>
        <v>#VALUE!</v>
      </c>
      <c r="H540" s="60">
        <v>34967468.079999998</v>
      </c>
      <c r="I540" s="60">
        <v>26105966.100000001</v>
      </c>
      <c r="J540" s="60">
        <v>9157835</v>
      </c>
      <c r="K540" s="60">
        <f t="shared" si="295"/>
        <v>25809633.079999998</v>
      </c>
      <c r="L540" s="61">
        <f t="shared" si="292"/>
        <v>0.2618958564299918</v>
      </c>
      <c r="M540" s="60"/>
      <c r="N540" s="24"/>
      <c r="O540" s="9"/>
      <c r="Q540" s="63"/>
      <c r="AK540" s="64"/>
      <c r="AL540" s="64"/>
      <c r="AM540" s="64"/>
      <c r="AN540" s="64"/>
      <c r="AO540" s="11">
        <v>1217112</v>
      </c>
      <c r="AP540" s="65" t="str">
        <f t="shared" si="296"/>
        <v>12171127</v>
      </c>
    </row>
    <row r="541" spans="1:42" s="62" customFormat="1" ht="27.75" customHeight="1" thickTop="1" thickBot="1" x14ac:dyDescent="0.3">
      <c r="A541" s="56" t="s">
        <v>22</v>
      </c>
      <c r="B541" s="56" t="s">
        <v>22</v>
      </c>
      <c r="C541" s="57">
        <f t="shared" si="293"/>
        <v>1217112</v>
      </c>
      <c r="D541" s="58">
        <v>9</v>
      </c>
      <c r="E541" s="59" t="str">
        <f t="shared" si="294"/>
        <v>AUTRES DEPENSES PUBLIQUES</v>
      </c>
      <c r="F541" s="60" t="e">
        <f>SUMIFS([49]mensuel_section_article1!$E$3:$E$962,[49]mensuel_section_article1!$B$3:$B$962,C541,[49]mensuel_section_article1!$C$3:$C$962,D541)</f>
        <v>#VALUE!</v>
      </c>
      <c r="G541" s="60" t="e">
        <f>SUMIFS([49]mensuel_section_article1!$G$3:$G$962,[49]mensuel_section_article1!$B$3:$B$962,C541,[49]mensuel_section_article1!$C$3:$C$962,D541)</f>
        <v>#VALUE!</v>
      </c>
      <c r="H541" s="60">
        <v>205973488</v>
      </c>
      <c r="I541" s="60">
        <v>98296053.270000011</v>
      </c>
      <c r="J541" s="60">
        <v>87292363.5</v>
      </c>
      <c r="K541" s="60">
        <f t="shared" si="295"/>
        <v>118681124.5</v>
      </c>
      <c r="L541" s="61">
        <f t="shared" si="292"/>
        <v>0.42380388052660445</v>
      </c>
      <c r="M541" s="60"/>
      <c r="N541" s="24"/>
      <c r="O541" s="9"/>
      <c r="Q541" s="63"/>
      <c r="AK541" s="64"/>
      <c r="AL541" s="64"/>
      <c r="AM541" s="64"/>
      <c r="AN541" s="64"/>
      <c r="AO541" s="11">
        <v>1217112</v>
      </c>
      <c r="AP541" s="65" t="str">
        <f t="shared" si="296"/>
        <v>12171129</v>
      </c>
    </row>
    <row r="542" spans="1:42" s="1" customFormat="1" ht="27.75" hidden="1" customHeight="1" thickTop="1" thickBot="1" x14ac:dyDescent="0.3">
      <c r="A542" s="50" t="s">
        <v>20</v>
      </c>
      <c r="B542" s="50" t="s">
        <v>20</v>
      </c>
      <c r="C542" s="50" t="s">
        <v>20</v>
      </c>
      <c r="D542" s="51">
        <v>1217113</v>
      </c>
      <c r="E542" s="67" t="s">
        <v>94</v>
      </c>
      <c r="F542" s="68" t="e">
        <f>SUMIF($B$543:$B$549,"article",F543:F549)</f>
        <v>#VALUE!</v>
      </c>
      <c r="G542" s="68" t="e">
        <f>SUMIF($B$543:$B$549,"article",G543:G549)</f>
        <v>#VALUE!</v>
      </c>
      <c r="H542" s="68">
        <f>SUMIF($B$543:$B$549,"article",H543:H549)</f>
        <v>0</v>
      </c>
      <c r="I542" s="68">
        <v>0</v>
      </c>
      <c r="J542" s="68">
        <f>SUMIF($B$543:$B$549,"article",J543:J549)</f>
        <v>0</v>
      </c>
      <c r="K542" s="68">
        <f>SUMIF($B$543:$B$549,"article",K543:K549)</f>
        <v>0</v>
      </c>
      <c r="L542" s="69" t="e">
        <f t="shared" ref="L542:L549" si="297">IF(F542&lt;&gt;0,K542/F542,0)</f>
        <v>#VALUE!</v>
      </c>
      <c r="M542" s="68" t="e">
        <f>SUMIF($B$543:$B$549,"article",M543:M549)</f>
        <v>#VALUE!</v>
      </c>
      <c r="N542" s="68" t="e">
        <f>SUMIF($B$543:$B$549,"article",N543:N549)</f>
        <v>#VALUE!</v>
      </c>
      <c r="O542" s="9"/>
      <c r="Q542" s="23"/>
      <c r="AK542" s="70"/>
      <c r="AL542" s="70"/>
      <c r="AM542" s="70"/>
      <c r="AN542" s="70"/>
      <c r="AO542" s="11">
        <v>1217113</v>
      </c>
    </row>
    <row r="543" spans="1:42" s="62" customFormat="1" ht="27.75" hidden="1" customHeight="1" thickTop="1" thickBot="1" x14ac:dyDescent="0.3">
      <c r="A543" s="56" t="s">
        <v>22</v>
      </c>
      <c r="B543" s="56" t="s">
        <v>22</v>
      </c>
      <c r="C543" s="57">
        <f t="shared" ref="C543:C549" si="298">IF(A542="SECTION",D542,C542)</f>
        <v>1217113</v>
      </c>
      <c r="D543" s="58">
        <v>1</v>
      </c>
      <c r="E543" s="59" t="str">
        <f t="shared" ref="E543:E549" si="299">IF(D543=1, "DEPENSES DE PERSONNEL",  +IF(D543=2,"DEPENSES DE SERVICES ET CHARGES DIVERSES", +IF(D543=3,"ACHATS DE BIENS DE CONSOMMATION ET PETITS MATERIELS",+IF(D543=4,"IMMOBILISATION CORPORELLE",+IF(D543=5,"IMMOBILISATION INCORPORELLE",+IF(D543=7,"SUBVENTIONS,QUOTES-PARTS ET CONTRIB.,ALLOC, INDEMNISATIONS",+IF(D543=8,"AMORTISSEMENT DE LA DETTE",+IF(D543=9,"AUTRES DEPENSES PUBLIQUES",0))))))))</f>
        <v>DEPENSES DE PERSONNEL</v>
      </c>
      <c r="F543" s="60" t="e">
        <f>SUMIFS([49]mensuel_section_article1!$E$3:$E$962,[49]mensuel_section_article1!$B$3:$B$962,C543,[49]mensuel_section_article1!$C$3:$C$962,D543)</f>
        <v>#VALUE!</v>
      </c>
      <c r="G543" s="60" t="e">
        <f>SUMIFS([49]mensuel_section_article1!$G$3:$G$962,[49]mensuel_section_article1!$B$3:$B$962,C543,[49]mensuel_section_article1!$C$3:$C$962,D543)</f>
        <v>#VALUE!</v>
      </c>
      <c r="H543" s="60">
        <v>0</v>
      </c>
      <c r="I543" s="60">
        <v>0</v>
      </c>
      <c r="J543" s="99">
        <v>0</v>
      </c>
      <c r="K543" s="60">
        <f t="shared" ref="K543:K549" si="300">+H543-J543</f>
        <v>0</v>
      </c>
      <c r="L543" s="61" t="e">
        <f t="shared" si="297"/>
        <v>#VALUE!</v>
      </c>
      <c r="M543" s="60" t="e">
        <f>+SUMIFS([51]section_article!$H$10:$H$936,[51]section_article!$C$10:$C$936,C543,[51]section_article!$D$10:$D$936,D543)</f>
        <v>#VALUE!</v>
      </c>
      <c r="N543" s="24" t="e">
        <f t="shared" ref="N543:N549" si="301">+J543-M543</f>
        <v>#VALUE!</v>
      </c>
      <c r="O543" s="9"/>
      <c r="Q543" s="63"/>
      <c r="AK543" s="64"/>
      <c r="AL543" s="64"/>
      <c r="AM543" s="64"/>
      <c r="AN543" s="64"/>
      <c r="AO543" s="11">
        <v>1217113</v>
      </c>
      <c r="AP543" s="65" t="str">
        <f t="shared" ref="AP543:AP549" si="302">CONCATENATE(AO543,D543)</f>
        <v>12171131</v>
      </c>
    </row>
    <row r="544" spans="1:42" s="62" customFormat="1" ht="27.75" hidden="1" customHeight="1" thickTop="1" thickBot="1" x14ac:dyDescent="0.3">
      <c r="A544" s="56" t="s">
        <v>22</v>
      </c>
      <c r="B544" s="56" t="s">
        <v>22</v>
      </c>
      <c r="C544" s="57">
        <f t="shared" si="298"/>
        <v>1217113</v>
      </c>
      <c r="D544" s="58">
        <v>2</v>
      </c>
      <c r="E544" s="59" t="str">
        <f t="shared" si="299"/>
        <v>DEPENSES DE SERVICES ET CHARGES DIVERSES</v>
      </c>
      <c r="F544" s="60" t="e">
        <f>SUMIFS([49]mensuel_section_article1!$E$3:$E$962,[49]mensuel_section_article1!$B$3:$B$962,C544,[49]mensuel_section_article1!$C$3:$C$962,D544)</f>
        <v>#VALUE!</v>
      </c>
      <c r="G544" s="60" t="e">
        <f>SUMIFS([49]mensuel_section_article1!$G$3:$G$962,[49]mensuel_section_article1!$B$3:$B$962,C544,[49]mensuel_section_article1!$C$3:$C$962,D544)</f>
        <v>#VALUE!</v>
      </c>
      <c r="H544" s="60">
        <v>0</v>
      </c>
      <c r="I544" s="60">
        <v>0</v>
      </c>
      <c r="J544" s="99">
        <v>0</v>
      </c>
      <c r="K544" s="60">
        <f t="shared" si="300"/>
        <v>0</v>
      </c>
      <c r="L544" s="61" t="e">
        <f t="shared" si="297"/>
        <v>#VALUE!</v>
      </c>
      <c r="M544" s="60" t="e">
        <f>+SUMIFS([51]section_article!$H$10:$H$936,[51]section_article!$C$10:$C$936,C544,[51]section_article!$D$10:$D$936,D544)</f>
        <v>#VALUE!</v>
      </c>
      <c r="N544" s="24" t="e">
        <f t="shared" si="301"/>
        <v>#VALUE!</v>
      </c>
      <c r="O544" s="9"/>
      <c r="Q544" s="63"/>
      <c r="AK544" s="64"/>
      <c r="AL544" s="64"/>
      <c r="AM544" s="64"/>
      <c r="AN544" s="64"/>
      <c r="AO544" s="11">
        <v>1217113</v>
      </c>
      <c r="AP544" s="65" t="str">
        <f t="shared" si="302"/>
        <v>12171132</v>
      </c>
    </row>
    <row r="545" spans="1:42" s="62" customFormat="1" ht="27.75" hidden="1" customHeight="1" thickTop="1" thickBot="1" x14ac:dyDescent="0.3">
      <c r="A545" s="56" t="s">
        <v>22</v>
      </c>
      <c r="B545" s="56" t="s">
        <v>22</v>
      </c>
      <c r="C545" s="57">
        <f t="shared" si="298"/>
        <v>1217113</v>
      </c>
      <c r="D545" s="58">
        <v>3</v>
      </c>
      <c r="E545" s="59" t="str">
        <f t="shared" si="299"/>
        <v>ACHATS DE BIENS DE CONSOMMATION ET PETITS MATERIELS</v>
      </c>
      <c r="F545" s="60" t="e">
        <f>SUMIFS([49]mensuel_section_article1!$E$3:$E$962,[49]mensuel_section_article1!$B$3:$B$962,C545,[49]mensuel_section_article1!$C$3:$C$962,D545)</f>
        <v>#VALUE!</v>
      </c>
      <c r="G545" s="60" t="e">
        <f>SUMIFS([49]mensuel_section_article1!$G$3:$G$962,[49]mensuel_section_article1!$B$3:$B$962,C545,[49]mensuel_section_article1!$C$3:$C$962,D545)</f>
        <v>#VALUE!</v>
      </c>
      <c r="H545" s="60">
        <v>0</v>
      </c>
      <c r="I545" s="60">
        <v>0</v>
      </c>
      <c r="J545" s="99">
        <v>0</v>
      </c>
      <c r="K545" s="60">
        <f t="shared" si="300"/>
        <v>0</v>
      </c>
      <c r="L545" s="61" t="e">
        <f t="shared" si="297"/>
        <v>#VALUE!</v>
      </c>
      <c r="M545" s="60" t="e">
        <f>+SUMIFS([51]section_article!$H$10:$H$936,[51]section_article!$C$10:$C$936,C545,[51]section_article!$D$10:$D$936,D545)</f>
        <v>#VALUE!</v>
      </c>
      <c r="N545" s="24" t="e">
        <f t="shared" si="301"/>
        <v>#VALUE!</v>
      </c>
      <c r="O545" s="9"/>
      <c r="Q545" s="63"/>
      <c r="AK545" s="64"/>
      <c r="AL545" s="64"/>
      <c r="AM545" s="64"/>
      <c r="AN545" s="64"/>
      <c r="AO545" s="11">
        <v>1217113</v>
      </c>
      <c r="AP545" s="65" t="str">
        <f t="shared" si="302"/>
        <v>12171133</v>
      </c>
    </row>
    <row r="546" spans="1:42" s="62" customFormat="1" ht="27.75" hidden="1" customHeight="1" thickTop="1" thickBot="1" x14ac:dyDescent="0.3">
      <c r="A546" s="56" t="s">
        <v>22</v>
      </c>
      <c r="B546" s="56" t="s">
        <v>22</v>
      </c>
      <c r="C546" s="57">
        <f t="shared" si="298"/>
        <v>1217113</v>
      </c>
      <c r="D546" s="58">
        <v>4</v>
      </c>
      <c r="E546" s="59" t="str">
        <f t="shared" si="299"/>
        <v>IMMOBILISATION CORPORELLE</v>
      </c>
      <c r="F546" s="60" t="e">
        <f>SUMIFS([49]mensuel_section_article1!$E$3:$E$962,[49]mensuel_section_article1!$B$3:$B$962,C546,[49]mensuel_section_article1!$C$3:$C$962,D546)</f>
        <v>#VALUE!</v>
      </c>
      <c r="G546" s="60" t="e">
        <f>SUMIFS([49]mensuel_section_article1!$G$3:$G$962,[49]mensuel_section_article1!$B$3:$B$962,C546,[49]mensuel_section_article1!$C$3:$C$962,D546)</f>
        <v>#VALUE!</v>
      </c>
      <c r="H546" s="60">
        <v>0</v>
      </c>
      <c r="I546" s="60">
        <v>0</v>
      </c>
      <c r="J546" s="99">
        <v>0</v>
      </c>
      <c r="K546" s="60">
        <f t="shared" si="300"/>
        <v>0</v>
      </c>
      <c r="L546" s="61" t="e">
        <f t="shared" si="297"/>
        <v>#VALUE!</v>
      </c>
      <c r="M546" s="60" t="e">
        <f>+SUMIFS([51]section_article!$H$10:$H$936,[51]section_article!$C$10:$C$936,C546,[51]section_article!$D$10:$D$936,D546)</f>
        <v>#VALUE!</v>
      </c>
      <c r="N546" s="24" t="e">
        <f t="shared" si="301"/>
        <v>#VALUE!</v>
      </c>
      <c r="O546" s="9"/>
      <c r="Q546" s="63"/>
      <c r="AK546" s="64"/>
      <c r="AL546" s="64"/>
      <c r="AM546" s="64"/>
      <c r="AN546" s="64"/>
      <c r="AO546" s="11">
        <v>1217113</v>
      </c>
      <c r="AP546" s="65" t="str">
        <f t="shared" si="302"/>
        <v>12171134</v>
      </c>
    </row>
    <row r="547" spans="1:42" s="62" customFormat="1" ht="27.75" hidden="1" customHeight="1" thickTop="1" thickBot="1" x14ac:dyDescent="0.3">
      <c r="A547" s="56" t="s">
        <v>22</v>
      </c>
      <c r="B547" s="56" t="s">
        <v>22</v>
      </c>
      <c r="C547" s="57">
        <f t="shared" si="298"/>
        <v>1217113</v>
      </c>
      <c r="D547" s="58">
        <v>5</v>
      </c>
      <c r="E547" s="59" t="str">
        <f t="shared" si="299"/>
        <v>IMMOBILISATION INCORPORELLE</v>
      </c>
      <c r="F547" s="60" t="e">
        <f>SUMIFS([49]mensuel_section_article1!$E$3:$E$962,[49]mensuel_section_article1!$B$3:$B$962,C547,[49]mensuel_section_article1!$C$3:$C$962,D547)</f>
        <v>#VALUE!</v>
      </c>
      <c r="G547" s="60" t="e">
        <f>SUMIFS([49]mensuel_section_article1!$G$3:$G$962,[49]mensuel_section_article1!$B$3:$B$962,C547,[49]mensuel_section_article1!$C$3:$C$962,D547)</f>
        <v>#VALUE!</v>
      </c>
      <c r="H547" s="60">
        <v>0</v>
      </c>
      <c r="I547" s="60">
        <v>0</v>
      </c>
      <c r="J547" s="99">
        <v>0</v>
      </c>
      <c r="K547" s="60">
        <f t="shared" si="300"/>
        <v>0</v>
      </c>
      <c r="L547" s="61" t="e">
        <f t="shared" si="297"/>
        <v>#VALUE!</v>
      </c>
      <c r="M547" s="60" t="e">
        <f>+SUMIFS([51]section_article!$H$10:$H$936,[51]section_article!$C$10:$C$936,C547,[51]section_article!$D$10:$D$936,D547)</f>
        <v>#VALUE!</v>
      </c>
      <c r="N547" s="24" t="e">
        <f t="shared" si="301"/>
        <v>#VALUE!</v>
      </c>
      <c r="O547" s="9"/>
      <c r="Q547" s="63"/>
      <c r="AK547" s="64"/>
      <c r="AL547" s="64"/>
      <c r="AM547" s="64"/>
      <c r="AN547" s="64"/>
      <c r="AO547" s="11">
        <v>1217113</v>
      </c>
      <c r="AP547" s="65" t="str">
        <f t="shared" si="302"/>
        <v>12171135</v>
      </c>
    </row>
    <row r="548" spans="1:42" s="62" customFormat="1" ht="27.75" hidden="1" customHeight="1" thickTop="1" thickBot="1" x14ac:dyDescent="0.3">
      <c r="A548" s="56" t="s">
        <v>22</v>
      </c>
      <c r="B548" s="56" t="s">
        <v>22</v>
      </c>
      <c r="C548" s="57">
        <f t="shared" si="298"/>
        <v>1217113</v>
      </c>
      <c r="D548" s="58">
        <v>7</v>
      </c>
      <c r="E548" s="59" t="str">
        <f t="shared" si="299"/>
        <v>SUBVENTIONS,QUOTES-PARTS ET CONTRIB.,ALLOC, INDEMNISATIONS</v>
      </c>
      <c r="F548" s="60" t="e">
        <f>SUMIFS([49]mensuel_section_article1!$E$3:$E$962,[49]mensuel_section_article1!$B$3:$B$962,C548,[49]mensuel_section_article1!$C$3:$C$962,D548)</f>
        <v>#VALUE!</v>
      </c>
      <c r="G548" s="60" t="e">
        <f>SUMIFS([49]mensuel_section_article1!$G$3:$G$962,[49]mensuel_section_article1!$B$3:$B$962,C548,[49]mensuel_section_article1!$C$3:$C$962,D548)</f>
        <v>#VALUE!</v>
      </c>
      <c r="H548" s="60">
        <v>0</v>
      </c>
      <c r="I548" s="60">
        <v>0</v>
      </c>
      <c r="J548" s="99">
        <v>0</v>
      </c>
      <c r="K548" s="60">
        <f t="shared" si="300"/>
        <v>0</v>
      </c>
      <c r="L548" s="61" t="e">
        <f t="shared" si="297"/>
        <v>#VALUE!</v>
      </c>
      <c r="M548" s="60" t="e">
        <f>+SUMIFS([51]section_article!$H$10:$H$936,[51]section_article!$C$10:$C$936,C548,[51]section_article!$D$10:$D$936,D548)</f>
        <v>#VALUE!</v>
      </c>
      <c r="N548" s="24" t="e">
        <f t="shared" si="301"/>
        <v>#VALUE!</v>
      </c>
      <c r="O548" s="9"/>
      <c r="Q548" s="63"/>
      <c r="AK548" s="64"/>
      <c r="AL548" s="64"/>
      <c r="AM548" s="64"/>
      <c r="AN548" s="64"/>
      <c r="AO548" s="11">
        <v>1217113</v>
      </c>
      <c r="AP548" s="65" t="str">
        <f t="shared" si="302"/>
        <v>12171137</v>
      </c>
    </row>
    <row r="549" spans="1:42" s="62" customFormat="1" ht="27.75" hidden="1" customHeight="1" thickTop="1" thickBot="1" x14ac:dyDescent="0.3">
      <c r="A549" s="56" t="s">
        <v>22</v>
      </c>
      <c r="B549" s="56" t="s">
        <v>22</v>
      </c>
      <c r="C549" s="57">
        <f t="shared" si="298"/>
        <v>1217113</v>
      </c>
      <c r="D549" s="58">
        <v>9</v>
      </c>
      <c r="E549" s="59" t="str">
        <f t="shared" si="299"/>
        <v>AUTRES DEPENSES PUBLIQUES</v>
      </c>
      <c r="F549" s="60" t="e">
        <f>SUMIFS([49]mensuel_section_article1!$E$3:$E$962,[49]mensuel_section_article1!$B$3:$B$962,C549,[49]mensuel_section_article1!$C$3:$C$962,D549)</f>
        <v>#VALUE!</v>
      </c>
      <c r="G549" s="60" t="e">
        <f>SUMIFS([49]mensuel_section_article1!$G$3:$G$962,[49]mensuel_section_article1!$B$3:$B$962,C549,[49]mensuel_section_article1!$C$3:$C$962,D549)</f>
        <v>#VALUE!</v>
      </c>
      <c r="H549" s="60">
        <v>0</v>
      </c>
      <c r="I549" s="60">
        <v>0</v>
      </c>
      <c r="J549" s="99">
        <v>0</v>
      </c>
      <c r="K549" s="60">
        <f t="shared" si="300"/>
        <v>0</v>
      </c>
      <c r="L549" s="61" t="e">
        <f t="shared" si="297"/>
        <v>#VALUE!</v>
      </c>
      <c r="M549" s="60" t="e">
        <f>+SUMIFS([51]section_article!$H$10:$H$936,[51]section_article!$C$10:$C$936,C549,[51]section_article!$D$10:$D$936,D549)</f>
        <v>#VALUE!</v>
      </c>
      <c r="N549" s="24" t="e">
        <f t="shared" si="301"/>
        <v>#VALUE!</v>
      </c>
      <c r="O549" s="9"/>
      <c r="Q549" s="63"/>
      <c r="AK549" s="64"/>
      <c r="AL549" s="64"/>
      <c r="AM549" s="64"/>
      <c r="AN549" s="64"/>
      <c r="AO549" s="11">
        <v>1217113</v>
      </c>
      <c r="AP549" s="65" t="str">
        <f t="shared" si="302"/>
        <v>12171139</v>
      </c>
    </row>
    <row r="550" spans="1:42" s="1" customFormat="1" ht="27.75" customHeight="1" thickTop="1" x14ac:dyDescent="0.25">
      <c r="A550" s="31" t="s">
        <v>14</v>
      </c>
      <c r="B550" s="31" t="s">
        <v>14</v>
      </c>
      <c r="C550" s="31" t="s">
        <v>14</v>
      </c>
      <c r="D550" s="87">
        <v>13</v>
      </c>
      <c r="E550" s="88" t="s">
        <v>95</v>
      </c>
      <c r="F550" s="89" t="e">
        <f>SUMIF($B$551:$B$689,"MIN",F551:F689)</f>
        <v>#VALUE!</v>
      </c>
      <c r="G550" s="89" t="e">
        <f>SUMIF($B$551:$B$689,"MIN",G551:G689)</f>
        <v>#VALUE!</v>
      </c>
      <c r="H550" s="89">
        <f>SUMIF($B$551:$B$689,"MIN",H551:H689)</f>
        <v>19922453349.912899</v>
      </c>
      <c r="I550" s="89">
        <v>19774453350.000004</v>
      </c>
      <c r="J550" s="89">
        <f>SUMIF($B$551:$B$689,"MIN",J551:J689)</f>
        <v>19110841342.069992</v>
      </c>
      <c r="K550" s="89">
        <f>SUMIF($B$551:$B$689,"MIN",K551:K689)</f>
        <v>811612007.84290242</v>
      </c>
      <c r="L550" s="90">
        <f t="shared" ref="L550:L557" si="303">+J550/H550</f>
        <v>0.95926144267535929</v>
      </c>
      <c r="M550" s="89"/>
      <c r="N550" s="89"/>
      <c r="O550" s="9"/>
      <c r="Q550" s="23"/>
      <c r="AK550" s="91"/>
      <c r="AL550" s="91"/>
      <c r="AM550" s="91"/>
      <c r="AN550" s="91"/>
      <c r="AO550" s="11"/>
    </row>
    <row r="551" spans="1:42" s="1" customFormat="1" ht="27.75" customHeight="1" x14ac:dyDescent="0.25">
      <c r="A551" s="37" t="s">
        <v>16</v>
      </c>
      <c r="B551" s="37" t="s">
        <v>16</v>
      </c>
      <c r="C551" s="37" t="s">
        <v>16</v>
      </c>
      <c r="D551" s="73">
        <v>1311</v>
      </c>
      <c r="E551" s="74" t="s">
        <v>96</v>
      </c>
      <c r="F551" s="75" t="e">
        <f>SUMIF($B$552:$B$588,"chap",F552:F588)</f>
        <v>#VALUE!</v>
      </c>
      <c r="G551" s="75" t="e">
        <f>SUMIF($B$552:$B$588,"chap",G552:G588)</f>
        <v>#VALUE!</v>
      </c>
      <c r="H551" s="75">
        <f>SUMIF($B$552:$B$588,"chap",H552:H588)</f>
        <v>12763217123.860001</v>
      </c>
      <c r="I551" s="75">
        <v>12785217123.900002</v>
      </c>
      <c r="J551" s="75">
        <f>SUMIF($B$552:$B$588,"chap",J552:J588)</f>
        <v>12384807238.109997</v>
      </c>
      <c r="K551" s="75">
        <f>SUMIF($B$552:$B$588,"chap",K552:K588)</f>
        <v>378409885.75000155</v>
      </c>
      <c r="L551" s="76">
        <f t="shared" si="303"/>
        <v>0.97035152798250279</v>
      </c>
      <c r="M551" s="75"/>
      <c r="N551" s="75"/>
      <c r="O551" s="9"/>
      <c r="Q551" s="23"/>
      <c r="AK551" s="77"/>
      <c r="AL551" s="77"/>
      <c r="AM551" s="77"/>
      <c r="AN551" s="77"/>
      <c r="AO551" s="11"/>
    </row>
    <row r="552" spans="1:42" s="49" customFormat="1" ht="27.75" customHeight="1" x14ac:dyDescent="0.25">
      <c r="A552" s="43" t="s">
        <v>19</v>
      </c>
      <c r="B552" s="43" t="s">
        <v>19</v>
      </c>
      <c r="C552" s="43" t="s">
        <v>19</v>
      </c>
      <c r="D552" s="44">
        <v>13111</v>
      </c>
      <c r="E552" s="45" t="str">
        <f>VLOOKUP(D552,[49]INST!$A$1:$B$626,2,FALSE)</f>
        <v>SERVICES INTERNES</v>
      </c>
      <c r="F552" s="46" t="e">
        <f>SUMIF($B$553:$B$588,"section",F553:F588)</f>
        <v>#VALUE!</v>
      </c>
      <c r="G552" s="46" t="e">
        <f>SUMIF($B$553:$B$588,"section",G553:G588)</f>
        <v>#VALUE!</v>
      </c>
      <c r="H552" s="46">
        <f>SUMIF($B$553:$B$588,"section",H553:H588)</f>
        <v>12763217123.860001</v>
      </c>
      <c r="I552" s="46">
        <v>12785217123.900002</v>
      </c>
      <c r="J552" s="46">
        <f>SUMIF($B$553:$B$588,"section",J553:J588)</f>
        <v>12384807238.109997</v>
      </c>
      <c r="K552" s="46">
        <f>SUMIF($B$553:$B$588,"section",K553:K588)</f>
        <v>378409885.75000155</v>
      </c>
      <c r="L552" s="47">
        <f t="shared" si="303"/>
        <v>0.97035152798250279</v>
      </c>
      <c r="M552" s="46"/>
      <c r="N552" s="46"/>
      <c r="O552" s="48"/>
      <c r="AO552" s="11"/>
    </row>
    <row r="553" spans="1:42" s="1" customFormat="1" ht="27.75" customHeight="1" thickBot="1" x14ac:dyDescent="0.3">
      <c r="A553" s="50" t="s">
        <v>20</v>
      </c>
      <c r="B553" s="50" t="s">
        <v>20</v>
      </c>
      <c r="C553" s="50" t="s">
        <v>20</v>
      </c>
      <c r="D553" s="51">
        <v>1311111</v>
      </c>
      <c r="E553" s="67" t="s">
        <v>21</v>
      </c>
      <c r="F553" s="68" t="e">
        <f>SUMIF($B$554:$B$560,"article",F554:F560)</f>
        <v>#VALUE!</v>
      </c>
      <c r="G553" s="68" t="e">
        <f>SUMIF($B$554:$B$560,"article",G554:G560)</f>
        <v>#VALUE!</v>
      </c>
      <c r="H553" s="68">
        <f>SUMIF($B$554:$B$560,"article",H554:H560)</f>
        <v>205099999.75999999</v>
      </c>
      <c r="I553" s="68">
        <v>229374627.44</v>
      </c>
      <c r="J553" s="68">
        <f>SUMIF($B$554:$B$560,"article",J554:J560)</f>
        <v>206027360.65000001</v>
      </c>
      <c r="K553" s="68">
        <f>SUMIF($B$554:$B$560,"article",K554:K560)</f>
        <v>-927360.88999999128</v>
      </c>
      <c r="L553" s="69">
        <f t="shared" si="303"/>
        <v>1.0045215060511223</v>
      </c>
      <c r="M553" s="68"/>
      <c r="N553" s="68"/>
      <c r="O553" s="9"/>
      <c r="Q553" s="23"/>
      <c r="AK553" s="70"/>
      <c r="AL553" s="70"/>
      <c r="AM553" s="70"/>
      <c r="AN553" s="70"/>
      <c r="AO553" s="11">
        <v>1311111</v>
      </c>
    </row>
    <row r="554" spans="1:42" s="62" customFormat="1" ht="27.75" customHeight="1" thickTop="1" thickBot="1" x14ac:dyDescent="0.3">
      <c r="A554" s="56" t="s">
        <v>22</v>
      </c>
      <c r="B554" s="56" t="s">
        <v>22</v>
      </c>
      <c r="C554" s="57">
        <f t="shared" ref="C554:C560" si="304">IF(A553="SECTION",D553,C553)</f>
        <v>1311111</v>
      </c>
      <c r="D554" s="58">
        <v>1</v>
      </c>
      <c r="E554" s="59" t="str">
        <f t="shared" ref="E554:E560" si="305">IF(D554=1, "DEPENSES DE PERSONNEL",  +IF(D554=2,"DEPENSES DE SERVICES ET CHARGES DIVERSES", +IF(D554=3,"ACHATS DE BIENS DE CONSOMMATION ET PETITS MATERIELS",+IF(D554=4,"IMMOBILISATION CORPORELLE",+IF(D554=5,"IMMOBILISATION INCORPORELLE",+IF(D554=7,"SUBVENTIONS,QUOTES-PARTS ET CONTRIB.,ALLOC, INDEMNISATIONS",+IF(D554=8,"AMORTISSEMENT DE LA DETTE",+IF(D554=9,"AUTRES DEPENSES PUBLIQUES",0))))))))</f>
        <v>DEPENSES DE PERSONNEL</v>
      </c>
      <c r="F554" s="60" t="e">
        <f>SUMIFS([49]mensuel_section_article1!$E$3:$E$962,[49]mensuel_section_article1!$B$3:$B$962,C554,[49]mensuel_section_article1!$C$3:$C$962,D554)</f>
        <v>#VALUE!</v>
      </c>
      <c r="G554" s="60" t="e">
        <f>SUMIFS([49]mensuel_section_article1!$G$3:$G$962,[49]mensuel_section_article1!$B$3:$B$962,C554,[49]mensuel_section_article1!$C$3:$C$962,D554)</f>
        <v>#VALUE!</v>
      </c>
      <c r="H554" s="60">
        <v>130000000.88000001</v>
      </c>
      <c r="I554" s="60">
        <v>159432628.53999999</v>
      </c>
      <c r="J554" s="60">
        <v>159186448.44</v>
      </c>
      <c r="K554" s="60">
        <f t="shared" ref="K554:K560" si="306">+H554-J554</f>
        <v>-29186447.559999987</v>
      </c>
      <c r="L554" s="61">
        <f t="shared" si="303"/>
        <v>1.2245111335571552</v>
      </c>
      <c r="M554" s="60"/>
      <c r="N554" s="24"/>
      <c r="O554" s="9"/>
      <c r="Q554" s="63"/>
      <c r="AK554" s="64"/>
      <c r="AL554" s="64"/>
      <c r="AM554" s="64"/>
      <c r="AN554" s="64"/>
      <c r="AO554" s="11">
        <v>1311111</v>
      </c>
      <c r="AP554" s="65" t="str">
        <f t="shared" ref="AP554:AP560" si="307">CONCATENATE(AO554,D554)</f>
        <v>13111111</v>
      </c>
    </row>
    <row r="555" spans="1:42" s="62" customFormat="1" ht="27.75" customHeight="1" thickTop="1" thickBot="1" x14ac:dyDescent="0.3">
      <c r="A555" s="56" t="s">
        <v>22</v>
      </c>
      <c r="B555" s="56" t="s">
        <v>22</v>
      </c>
      <c r="C555" s="57">
        <f t="shared" si="304"/>
        <v>1311111</v>
      </c>
      <c r="D555" s="58">
        <v>2</v>
      </c>
      <c r="E555" s="59" t="str">
        <f t="shared" si="305"/>
        <v>DEPENSES DE SERVICES ET CHARGES DIVERSES</v>
      </c>
      <c r="F555" s="60" t="e">
        <f>SUMIFS([49]mensuel_section_article1!$E$3:$E$962,[49]mensuel_section_article1!$B$3:$B$962,C555,[49]mensuel_section_article1!$C$3:$C$962,D555)</f>
        <v>#VALUE!</v>
      </c>
      <c r="G555" s="60" t="e">
        <f>SUMIFS([49]mensuel_section_article1!$G$3:$G$962,[49]mensuel_section_article1!$B$3:$B$962,C555,[49]mensuel_section_article1!$C$3:$C$962,D555)</f>
        <v>#VALUE!</v>
      </c>
      <c r="H555" s="60">
        <v>19999999.5</v>
      </c>
      <c r="I555" s="60">
        <v>29095999.5</v>
      </c>
      <c r="J555" s="60">
        <v>15264824.059999999</v>
      </c>
      <c r="K555" s="60">
        <f t="shared" si="306"/>
        <v>4735175.4400000013</v>
      </c>
      <c r="L555" s="61">
        <f t="shared" si="303"/>
        <v>0.76324122208103051</v>
      </c>
      <c r="M555" s="60"/>
      <c r="N555" s="24"/>
      <c r="O555" s="9"/>
      <c r="Q555" s="63"/>
      <c r="AK555" s="64"/>
      <c r="AL555" s="64"/>
      <c r="AM555" s="64"/>
      <c r="AN555" s="64"/>
      <c r="AO555" s="11">
        <v>1311111</v>
      </c>
      <c r="AP555" s="65" t="str">
        <f t="shared" si="307"/>
        <v>13111112</v>
      </c>
    </row>
    <row r="556" spans="1:42" s="62" customFormat="1" ht="27.75" customHeight="1" thickTop="1" thickBot="1" x14ac:dyDescent="0.3">
      <c r="A556" s="56" t="s">
        <v>22</v>
      </c>
      <c r="B556" s="56" t="s">
        <v>22</v>
      </c>
      <c r="C556" s="57">
        <f t="shared" si="304"/>
        <v>1311111</v>
      </c>
      <c r="D556" s="58">
        <v>3</v>
      </c>
      <c r="E556" s="59" t="str">
        <f t="shared" si="305"/>
        <v>ACHATS DE BIENS DE CONSOMMATION ET PETITS MATERIELS</v>
      </c>
      <c r="F556" s="60" t="e">
        <f>SUMIFS([49]mensuel_section_article1!$E$3:$E$962,[49]mensuel_section_article1!$B$3:$B$962,C556,[49]mensuel_section_article1!$C$3:$C$962,D556)</f>
        <v>#VALUE!</v>
      </c>
      <c r="G556" s="60" t="e">
        <f>SUMIFS([49]mensuel_section_article1!$G$3:$G$962,[49]mensuel_section_article1!$B$3:$B$962,C556,[49]mensuel_section_article1!$C$3:$C$962,D556)</f>
        <v>#VALUE!</v>
      </c>
      <c r="H556" s="60">
        <v>10000000</v>
      </c>
      <c r="I556" s="60">
        <v>11250000</v>
      </c>
      <c r="J556" s="60">
        <v>5424661.5499999998</v>
      </c>
      <c r="K556" s="60">
        <f t="shared" si="306"/>
        <v>4575338.45</v>
      </c>
      <c r="L556" s="61">
        <f t="shared" si="303"/>
        <v>0.54246615499999995</v>
      </c>
      <c r="M556" s="60"/>
      <c r="N556" s="24"/>
      <c r="O556" s="9"/>
      <c r="Q556" s="63"/>
      <c r="AK556" s="64"/>
      <c r="AL556" s="64"/>
      <c r="AM556" s="64"/>
      <c r="AN556" s="64"/>
      <c r="AO556" s="11">
        <v>1311111</v>
      </c>
      <c r="AP556" s="65" t="str">
        <f t="shared" si="307"/>
        <v>13111113</v>
      </c>
    </row>
    <row r="557" spans="1:42" s="62" customFormat="1" ht="27.75" customHeight="1" thickTop="1" thickBot="1" x14ac:dyDescent="0.3">
      <c r="A557" s="56" t="s">
        <v>22</v>
      </c>
      <c r="B557" s="56" t="s">
        <v>22</v>
      </c>
      <c r="C557" s="57">
        <f t="shared" si="304"/>
        <v>1311111</v>
      </c>
      <c r="D557" s="58">
        <v>4</v>
      </c>
      <c r="E557" s="59" t="str">
        <f t="shared" si="305"/>
        <v>IMMOBILISATION CORPORELLE</v>
      </c>
      <c r="F557" s="60" t="e">
        <f>SUMIFS([49]mensuel_section_article1!$E$3:$E$962,[49]mensuel_section_article1!$B$3:$B$962,C557,[49]mensuel_section_article1!$C$3:$C$962,D557)</f>
        <v>#VALUE!</v>
      </c>
      <c r="G557" s="60" t="e">
        <f>SUMIFS([49]mensuel_section_article1!$G$3:$G$962,[49]mensuel_section_article1!$B$3:$B$962,C557,[49]mensuel_section_article1!$C$3:$C$962,D557)</f>
        <v>#VALUE!</v>
      </c>
      <c r="H557" s="60">
        <v>100000</v>
      </c>
      <c r="I557" s="60">
        <v>100000</v>
      </c>
      <c r="J557" s="60">
        <v>0</v>
      </c>
      <c r="K557" s="60">
        <f t="shared" si="306"/>
        <v>100000</v>
      </c>
      <c r="L557" s="61">
        <f t="shared" si="303"/>
        <v>0</v>
      </c>
      <c r="M557" s="60"/>
      <c r="N557" s="24"/>
      <c r="O557" s="9"/>
      <c r="Q557" s="63"/>
      <c r="AK557" s="64"/>
      <c r="AL557" s="64"/>
      <c r="AM557" s="64"/>
      <c r="AN557" s="64"/>
      <c r="AO557" s="11">
        <v>1311111</v>
      </c>
      <c r="AP557" s="65" t="str">
        <f t="shared" si="307"/>
        <v>13111114</v>
      </c>
    </row>
    <row r="558" spans="1:42" s="62" customFormat="1" ht="27.75" hidden="1" customHeight="1" thickTop="1" thickBot="1" x14ac:dyDescent="0.3">
      <c r="A558" s="56" t="s">
        <v>22</v>
      </c>
      <c r="B558" s="56" t="s">
        <v>22</v>
      </c>
      <c r="C558" s="57">
        <f t="shared" si="304"/>
        <v>1311111</v>
      </c>
      <c r="D558" s="58">
        <v>5</v>
      </c>
      <c r="E558" s="59" t="str">
        <f t="shared" si="305"/>
        <v>IMMOBILISATION INCORPORELLE</v>
      </c>
      <c r="F558" s="60" t="e">
        <f>SUMIFS([49]mensuel_section_article1!$E$3:$E$962,[49]mensuel_section_article1!$B$3:$B$962,C558,[49]mensuel_section_article1!$C$3:$C$962,D558)</f>
        <v>#VALUE!</v>
      </c>
      <c r="G558" s="60" t="e">
        <f>SUMIFS([49]mensuel_section_article1!$G$3:$G$962,[49]mensuel_section_article1!$B$3:$B$962,C558,[49]mensuel_section_article1!$C$3:$C$962,D558)</f>
        <v>#VALUE!</v>
      </c>
      <c r="H558" s="60">
        <v>0</v>
      </c>
      <c r="I558" s="60">
        <v>0</v>
      </c>
      <c r="J558" s="60">
        <v>0</v>
      </c>
      <c r="K558" s="60">
        <f t="shared" si="306"/>
        <v>0</v>
      </c>
      <c r="L558" s="61" t="e">
        <f>IF(F558&lt;&gt;0,K558/F558,0)</f>
        <v>#VALUE!</v>
      </c>
      <c r="M558" s="60" t="e">
        <f>+SUMIFS([51]section_article!$H$10:$H$936,[51]section_article!$C$10:$C$936,C558,[51]section_article!$D$10:$D$936,D558)</f>
        <v>#VALUE!</v>
      </c>
      <c r="N558" s="24" t="e">
        <f t="shared" ref="N554:N560" si="308">+J558-M558</f>
        <v>#VALUE!</v>
      </c>
      <c r="O558" s="9"/>
      <c r="Q558" s="63"/>
      <c r="AK558" s="64"/>
      <c r="AL558" s="64"/>
      <c r="AM558" s="64"/>
      <c r="AN558" s="64"/>
      <c r="AO558" s="11">
        <v>1311111</v>
      </c>
      <c r="AP558" s="65" t="str">
        <f t="shared" si="307"/>
        <v>13111115</v>
      </c>
    </row>
    <row r="559" spans="1:42" s="62" customFormat="1" ht="27.75" customHeight="1" thickTop="1" thickBot="1" x14ac:dyDescent="0.3">
      <c r="A559" s="56" t="s">
        <v>22</v>
      </c>
      <c r="B559" s="56" t="s">
        <v>22</v>
      </c>
      <c r="C559" s="57">
        <f t="shared" si="304"/>
        <v>1311111</v>
      </c>
      <c r="D559" s="58">
        <v>7</v>
      </c>
      <c r="E559" s="59" t="str">
        <f t="shared" si="305"/>
        <v>SUBVENTIONS,QUOTES-PARTS ET CONTRIB.,ALLOC, INDEMNISATIONS</v>
      </c>
      <c r="F559" s="60" t="e">
        <f>SUMIFS([49]mensuel_section_article1!$E$3:$E$962,[49]mensuel_section_article1!$B$3:$B$962,C559,[49]mensuel_section_article1!$C$3:$C$962,D559)</f>
        <v>#VALUE!</v>
      </c>
      <c r="G559" s="60" t="e">
        <f>SUMIFS([49]mensuel_section_article1!$G$3:$G$962,[49]mensuel_section_article1!$B$3:$B$962,C559,[49]mensuel_section_article1!$C$3:$C$962,D559)</f>
        <v>#VALUE!</v>
      </c>
      <c r="H559" s="60">
        <v>24999999.579999998</v>
      </c>
      <c r="I559" s="60">
        <v>15095999.6</v>
      </c>
      <c r="J559" s="60">
        <v>11799425</v>
      </c>
      <c r="K559" s="60">
        <f t="shared" si="306"/>
        <v>13200574.579999998</v>
      </c>
      <c r="L559" s="61">
        <f t="shared" ref="L559:L571" si="309">+J559/H559</f>
        <v>0.47197700792921377</v>
      </c>
      <c r="M559" s="60"/>
      <c r="N559" s="24"/>
      <c r="O559" s="9"/>
      <c r="Q559" s="63"/>
      <c r="AK559" s="100"/>
      <c r="AL559" s="100"/>
      <c r="AM559" s="100"/>
      <c r="AN559" s="100"/>
      <c r="AO559" s="11">
        <v>1311111</v>
      </c>
      <c r="AP559" s="65" t="str">
        <f t="shared" si="307"/>
        <v>13111117</v>
      </c>
    </row>
    <row r="560" spans="1:42" s="62" customFormat="1" ht="27.75" customHeight="1" thickTop="1" thickBot="1" x14ac:dyDescent="0.3">
      <c r="A560" s="56" t="s">
        <v>22</v>
      </c>
      <c r="B560" s="56" t="s">
        <v>22</v>
      </c>
      <c r="C560" s="57">
        <f t="shared" si="304"/>
        <v>1311111</v>
      </c>
      <c r="D560" s="58">
        <v>9</v>
      </c>
      <c r="E560" s="59" t="str">
        <f t="shared" si="305"/>
        <v>AUTRES DEPENSES PUBLIQUES</v>
      </c>
      <c r="F560" s="60" t="e">
        <f>SUMIFS([49]mensuel_section_article1!$E$3:$E$962,[49]mensuel_section_article1!$B$3:$B$962,C560,[49]mensuel_section_article1!$C$3:$C$962,D560)</f>
        <v>#VALUE!</v>
      </c>
      <c r="G560" s="60" t="e">
        <f>SUMIFS([49]mensuel_section_article1!$G$3:$G$962,[49]mensuel_section_article1!$B$3:$B$962,C560,[49]mensuel_section_article1!$C$3:$C$962,D560)</f>
        <v>#VALUE!</v>
      </c>
      <c r="H560" s="60">
        <v>19999999.799999997</v>
      </c>
      <c r="I560" s="60">
        <v>14399999.800000001</v>
      </c>
      <c r="J560" s="60">
        <v>14352001.6</v>
      </c>
      <c r="K560" s="60">
        <f t="shared" si="306"/>
        <v>5647998.1999999974</v>
      </c>
      <c r="L560" s="61">
        <f t="shared" si="309"/>
        <v>0.71760008717600099</v>
      </c>
      <c r="M560" s="60"/>
      <c r="N560" s="24"/>
      <c r="O560" s="9"/>
      <c r="Q560" s="63"/>
      <c r="AK560" s="64"/>
      <c r="AL560" s="64"/>
      <c r="AM560" s="64"/>
      <c r="AN560" s="64"/>
      <c r="AO560" s="11">
        <v>1311111</v>
      </c>
      <c r="AP560" s="65" t="str">
        <f t="shared" si="307"/>
        <v>13111119</v>
      </c>
    </row>
    <row r="561" spans="1:42" s="1" customFormat="1" ht="27.75" customHeight="1" thickTop="1" thickBot="1" x14ac:dyDescent="0.3">
      <c r="A561" s="50" t="s">
        <v>20</v>
      </c>
      <c r="B561" s="50" t="s">
        <v>20</v>
      </c>
      <c r="C561" s="50" t="s">
        <v>20</v>
      </c>
      <c r="D561" s="51">
        <v>1311112</v>
      </c>
      <c r="E561" s="67" t="s">
        <v>23</v>
      </c>
      <c r="F561" s="68" t="e">
        <f>SUMIF($B$562:$B$568,"article",F562:F568)</f>
        <v>#VALUE!</v>
      </c>
      <c r="G561" s="68" t="e">
        <f>SUMIF($B$562:$B$568,"article",G562:G568)</f>
        <v>#VALUE!</v>
      </c>
      <c r="H561" s="68">
        <f>SUMIF($B$562:$B$568,"article",H562:H568)</f>
        <v>12142217438.82</v>
      </c>
      <c r="I561" s="68">
        <v>12055857297.840002</v>
      </c>
      <c r="J561" s="68">
        <f>SUMIF($B$562:$B$568,"article",J562:J568)</f>
        <v>11701597683.419998</v>
      </c>
      <c r="K561" s="68">
        <f>SUMIF($B$562:$B$568,"article",K562:K568)</f>
        <v>440619755.40000153</v>
      </c>
      <c r="L561" s="69">
        <f t="shared" si="309"/>
        <v>0.9637117554828748</v>
      </c>
      <c r="M561" s="68"/>
      <c r="N561" s="68"/>
      <c r="O561" s="9"/>
      <c r="Q561" s="23"/>
      <c r="AK561" s="70"/>
      <c r="AL561" s="70"/>
      <c r="AM561" s="70"/>
      <c r="AN561" s="70"/>
      <c r="AO561" s="11">
        <v>1311112</v>
      </c>
    </row>
    <row r="562" spans="1:42" s="62" customFormat="1" ht="27.75" customHeight="1" thickTop="1" thickBot="1" x14ac:dyDescent="0.3">
      <c r="A562" s="56" t="s">
        <v>22</v>
      </c>
      <c r="B562" s="56" t="s">
        <v>22</v>
      </c>
      <c r="C562" s="57">
        <f t="shared" ref="C562:C568" si="310">IF(A561="SECTION",D561,C561)</f>
        <v>1311112</v>
      </c>
      <c r="D562" s="58">
        <v>1</v>
      </c>
      <c r="E562" s="59" t="str">
        <f t="shared" ref="E562:E568" si="311">IF(D562=1, "DEPENSES DE PERSONNEL",  +IF(D562=2,"DEPENSES DE SERVICES ET CHARGES DIVERSES", +IF(D562=3,"ACHATS DE BIENS DE CONSOMMATION ET PETITS MATERIELS",+IF(D562=4,"IMMOBILISATION CORPORELLE",+IF(D562=5,"IMMOBILISATION INCORPORELLE",+IF(D562=7,"SUBVENTIONS,QUOTES-PARTS ET CONTRIB.,ALLOC, INDEMNISATIONS",+IF(D562=8,"AMORTISSEMENT DE LA DETTE",+IF(D562=9,"AUTRES DEPENSES PUBLIQUES",0))))))))</f>
        <v>DEPENSES DE PERSONNEL</v>
      </c>
      <c r="F562" s="60" t="e">
        <f>SUMIFS([49]mensuel_section_article1!$E$3:$E$962,[49]mensuel_section_article1!$B$3:$B$962,C562,[49]mensuel_section_article1!$C$3:$C$962,D562)</f>
        <v>#VALUE!</v>
      </c>
      <c r="G562" s="60" t="e">
        <f>SUMIFS([49]mensuel_section_article1!$G$3:$G$962,[49]mensuel_section_article1!$B$3:$B$962,C562,[49]mensuel_section_article1!$C$3:$C$962,D562)</f>
        <v>#VALUE!</v>
      </c>
      <c r="H562" s="60">
        <v>9917853950.7000008</v>
      </c>
      <c r="I562" s="60">
        <v>9826335809.7400017</v>
      </c>
      <c r="J562" s="60">
        <v>9822829525.4599991</v>
      </c>
      <c r="K562" s="60">
        <f t="shared" ref="K562:K568" si="312">+H562-J562</f>
        <v>95024425.240001678</v>
      </c>
      <c r="L562" s="61">
        <f t="shared" si="309"/>
        <v>0.99041885213148406</v>
      </c>
      <c r="M562" s="60"/>
      <c r="N562" s="24"/>
      <c r="O562" s="9"/>
      <c r="Q562" s="63"/>
      <c r="AK562" s="64"/>
      <c r="AL562" s="64"/>
      <c r="AM562" s="64"/>
      <c r="AN562" s="64"/>
      <c r="AO562" s="11">
        <v>1311112</v>
      </c>
      <c r="AP562" s="65" t="str">
        <f t="shared" ref="AP562:AP568" si="313">CONCATENATE(AO562,D562)</f>
        <v>13111121</v>
      </c>
    </row>
    <row r="563" spans="1:42" s="62" customFormat="1" ht="27.75" customHeight="1" thickTop="1" thickBot="1" x14ac:dyDescent="0.3">
      <c r="A563" s="56" t="s">
        <v>22</v>
      </c>
      <c r="B563" s="56" t="s">
        <v>22</v>
      </c>
      <c r="C563" s="57">
        <f t="shared" si="310"/>
        <v>1311112</v>
      </c>
      <c r="D563" s="58">
        <v>2</v>
      </c>
      <c r="E563" s="59" t="str">
        <f t="shared" si="311"/>
        <v>DEPENSES DE SERVICES ET CHARGES DIVERSES</v>
      </c>
      <c r="F563" s="60" t="e">
        <f>SUMIFS([49]mensuel_section_article1!$E$3:$E$962,[49]mensuel_section_article1!$B$3:$B$962,C563,[49]mensuel_section_article1!$C$3:$C$962,D563)</f>
        <v>#VALUE!</v>
      </c>
      <c r="G563" s="60" t="e">
        <f>SUMIFS([49]mensuel_section_article1!$G$3:$G$962,[49]mensuel_section_article1!$B$3:$B$962,C563,[49]mensuel_section_article1!$C$3:$C$962,D563)</f>
        <v>#VALUE!</v>
      </c>
      <c r="H563" s="60">
        <v>888963487.92999995</v>
      </c>
      <c r="I563" s="60">
        <v>1005429323.02</v>
      </c>
      <c r="J563" s="60">
        <v>797799557.36000001</v>
      </c>
      <c r="K563" s="60">
        <f t="shared" si="312"/>
        <v>91163930.569999933</v>
      </c>
      <c r="L563" s="61">
        <f t="shared" si="309"/>
        <v>0.89744918457530787</v>
      </c>
      <c r="M563" s="60"/>
      <c r="N563" s="24"/>
      <c r="O563" s="9"/>
      <c r="Q563" s="63"/>
      <c r="AK563" s="64"/>
      <c r="AL563" s="64"/>
      <c r="AM563" s="64"/>
      <c r="AN563" s="64"/>
      <c r="AO563" s="11">
        <v>1311112</v>
      </c>
      <c r="AP563" s="65" t="str">
        <f t="shared" si="313"/>
        <v>13111122</v>
      </c>
    </row>
    <row r="564" spans="1:42" s="62" customFormat="1" ht="27.75" customHeight="1" thickTop="1" thickBot="1" x14ac:dyDescent="0.3">
      <c r="A564" s="56" t="s">
        <v>22</v>
      </c>
      <c r="B564" s="56" t="s">
        <v>22</v>
      </c>
      <c r="C564" s="57">
        <f t="shared" si="310"/>
        <v>1311112</v>
      </c>
      <c r="D564" s="58">
        <v>3</v>
      </c>
      <c r="E564" s="59" t="str">
        <f t="shared" si="311"/>
        <v>ACHATS DE BIENS DE CONSOMMATION ET PETITS MATERIELS</v>
      </c>
      <c r="F564" s="60" t="e">
        <f>SUMIFS([49]mensuel_section_article1!$E$3:$E$962,[49]mensuel_section_article1!$B$3:$B$962,C564,[49]mensuel_section_article1!$C$3:$C$962,D564)</f>
        <v>#VALUE!</v>
      </c>
      <c r="G564" s="60" t="e">
        <f>SUMIFS([49]mensuel_section_article1!$G$3:$G$962,[49]mensuel_section_article1!$B$3:$B$962,C564,[49]mensuel_section_article1!$C$3:$C$962,D564)</f>
        <v>#VALUE!</v>
      </c>
      <c r="H564" s="60">
        <v>210000000.41</v>
      </c>
      <c r="I564" s="60">
        <v>183188165.28</v>
      </c>
      <c r="J564" s="60">
        <v>120578439.39</v>
      </c>
      <c r="K564" s="60">
        <f t="shared" si="312"/>
        <v>89421561.019999996</v>
      </c>
      <c r="L564" s="61">
        <f t="shared" si="309"/>
        <v>0.57418304359326167</v>
      </c>
      <c r="M564" s="60"/>
      <c r="N564" s="24"/>
      <c r="O564" s="9"/>
      <c r="Q564" s="63"/>
      <c r="AK564" s="64"/>
      <c r="AL564" s="64"/>
      <c r="AM564" s="64"/>
      <c r="AN564" s="64"/>
      <c r="AO564" s="11">
        <v>1311112</v>
      </c>
      <c r="AP564" s="65" t="str">
        <f t="shared" si="313"/>
        <v>13111123</v>
      </c>
    </row>
    <row r="565" spans="1:42" s="62" customFormat="1" ht="27.75" customHeight="1" thickTop="1" thickBot="1" x14ac:dyDescent="0.3">
      <c r="A565" s="56" t="s">
        <v>22</v>
      </c>
      <c r="B565" s="56" t="s">
        <v>22</v>
      </c>
      <c r="C565" s="57">
        <f t="shared" si="310"/>
        <v>1311112</v>
      </c>
      <c r="D565" s="58">
        <v>4</v>
      </c>
      <c r="E565" s="59" t="str">
        <f t="shared" si="311"/>
        <v>IMMOBILISATION CORPORELLE</v>
      </c>
      <c r="F565" s="60" t="e">
        <f>SUMIFS([49]mensuel_section_article1!$E$3:$E$962,[49]mensuel_section_article1!$B$3:$B$962,C565,[49]mensuel_section_article1!$C$3:$C$962,D565)</f>
        <v>#VALUE!</v>
      </c>
      <c r="G565" s="60" t="e">
        <f>SUMIFS([49]mensuel_section_article1!$G$3:$G$962,[49]mensuel_section_article1!$B$3:$B$962,C565,[49]mensuel_section_article1!$C$3:$C$962,D565)</f>
        <v>#VALUE!</v>
      </c>
      <c r="H565" s="60">
        <v>100099999.88999999</v>
      </c>
      <c r="I565" s="60">
        <v>99499999.899999991</v>
      </c>
      <c r="J565" s="60">
        <v>47011188.900000006</v>
      </c>
      <c r="K565" s="60">
        <f t="shared" si="312"/>
        <v>53088810.98999998</v>
      </c>
      <c r="L565" s="61">
        <f t="shared" si="309"/>
        <v>0.46964224726933729</v>
      </c>
      <c r="M565" s="60"/>
      <c r="N565" s="24"/>
      <c r="O565" s="9"/>
      <c r="Q565" s="63"/>
      <c r="AK565" s="64"/>
      <c r="AL565" s="64"/>
      <c r="AM565" s="64"/>
      <c r="AN565" s="64"/>
      <c r="AO565" s="11">
        <v>1311112</v>
      </c>
      <c r="AP565" s="65" t="str">
        <f t="shared" si="313"/>
        <v>13111124</v>
      </c>
    </row>
    <row r="566" spans="1:42" s="62" customFormat="1" ht="27.75" customHeight="1" thickTop="1" thickBot="1" x14ac:dyDescent="0.3">
      <c r="A566" s="56" t="s">
        <v>22</v>
      </c>
      <c r="B566" s="56" t="s">
        <v>22</v>
      </c>
      <c r="C566" s="57">
        <f t="shared" si="310"/>
        <v>1311112</v>
      </c>
      <c r="D566" s="58">
        <v>5</v>
      </c>
      <c r="E566" s="59" t="str">
        <f t="shared" si="311"/>
        <v>IMMOBILISATION INCORPORELLE</v>
      </c>
      <c r="F566" s="60" t="e">
        <f>SUMIFS([49]mensuel_section_article1!$E$3:$E$962,[49]mensuel_section_article1!$B$3:$B$962,C566,[49]mensuel_section_article1!$C$3:$C$962,D566)</f>
        <v>#VALUE!</v>
      </c>
      <c r="G566" s="60" t="e">
        <f>SUMIFS([49]mensuel_section_article1!$G$3:$G$962,[49]mensuel_section_article1!$B$3:$B$962,C566,[49]mensuel_section_article1!$C$3:$C$962,D566)</f>
        <v>#VALUE!</v>
      </c>
      <c r="H566" s="60">
        <v>300000.40000000002</v>
      </c>
      <c r="I566" s="60">
        <v>900000.4</v>
      </c>
      <c r="J566" s="60">
        <v>0</v>
      </c>
      <c r="K566" s="60">
        <f t="shared" si="312"/>
        <v>300000.40000000002</v>
      </c>
      <c r="L566" s="61">
        <f t="shared" si="309"/>
        <v>0</v>
      </c>
      <c r="M566" s="60"/>
      <c r="N566" s="24"/>
      <c r="O566" s="9"/>
      <c r="Q566" s="63"/>
      <c r="AK566" s="64"/>
      <c r="AL566" s="64"/>
      <c r="AM566" s="64"/>
      <c r="AN566" s="64"/>
      <c r="AO566" s="11">
        <v>1311112</v>
      </c>
      <c r="AP566" s="65" t="str">
        <f t="shared" si="313"/>
        <v>13111125</v>
      </c>
    </row>
    <row r="567" spans="1:42" s="62" customFormat="1" ht="27.75" customHeight="1" thickTop="1" thickBot="1" x14ac:dyDescent="0.3">
      <c r="A567" s="56" t="s">
        <v>22</v>
      </c>
      <c r="B567" s="56" t="s">
        <v>22</v>
      </c>
      <c r="C567" s="57">
        <f t="shared" si="310"/>
        <v>1311112</v>
      </c>
      <c r="D567" s="58">
        <v>7</v>
      </c>
      <c r="E567" s="59" t="str">
        <f t="shared" si="311"/>
        <v>SUBVENTIONS,QUOTES-PARTS ET CONTRIB.,ALLOC, INDEMNISATIONS</v>
      </c>
      <c r="F567" s="60" t="e">
        <f>SUMIFS([49]mensuel_section_article1!$E$3:$E$962,[49]mensuel_section_article1!$B$3:$B$962,C567,[49]mensuel_section_article1!$C$3:$C$962,D567)</f>
        <v>#VALUE!</v>
      </c>
      <c r="G567" s="60" t="e">
        <f>SUMIFS([49]mensuel_section_article1!$G$3:$G$962,[49]mensuel_section_article1!$B$3:$B$962,C567,[49]mensuel_section_article1!$C$3:$C$962,D567)</f>
        <v>#VALUE!</v>
      </c>
      <c r="H567" s="60">
        <v>174999999.92000002</v>
      </c>
      <c r="I567" s="60">
        <v>184903999.90000001</v>
      </c>
      <c r="J567" s="60">
        <v>157786972.31</v>
      </c>
      <c r="K567" s="60">
        <f t="shared" si="312"/>
        <v>17213027.610000014</v>
      </c>
      <c r="L567" s="61">
        <f t="shared" si="309"/>
        <v>0.90163984218360671</v>
      </c>
      <c r="M567" s="60"/>
      <c r="N567" s="24"/>
      <c r="O567" s="9"/>
      <c r="Q567" s="63"/>
      <c r="AK567" s="64"/>
      <c r="AL567" s="64"/>
      <c r="AM567" s="64"/>
      <c r="AN567" s="64"/>
      <c r="AO567" s="11">
        <v>1311112</v>
      </c>
      <c r="AP567" s="65" t="str">
        <f t="shared" si="313"/>
        <v>13111127</v>
      </c>
    </row>
    <row r="568" spans="1:42" s="62" customFormat="1" ht="27.75" customHeight="1" thickTop="1" thickBot="1" x14ac:dyDescent="0.3">
      <c r="A568" s="56" t="s">
        <v>22</v>
      </c>
      <c r="B568" s="56" t="s">
        <v>22</v>
      </c>
      <c r="C568" s="57">
        <f t="shared" si="310"/>
        <v>1311112</v>
      </c>
      <c r="D568" s="58">
        <v>9</v>
      </c>
      <c r="E568" s="59" t="str">
        <f t="shared" si="311"/>
        <v>AUTRES DEPENSES PUBLIQUES</v>
      </c>
      <c r="F568" s="60" t="e">
        <f>SUMIFS([49]mensuel_section_article1!$E$3:$E$962,[49]mensuel_section_article1!$B$3:$B$962,C568,[49]mensuel_section_article1!$C$3:$C$962,D568)</f>
        <v>#VALUE!</v>
      </c>
      <c r="G568" s="60" t="e">
        <f>SUMIFS([49]mensuel_section_article1!$G$3:$G$962,[49]mensuel_section_article1!$B$3:$B$962,C568,[49]mensuel_section_article1!$C$3:$C$962,D568)</f>
        <v>#VALUE!</v>
      </c>
      <c r="H568" s="60">
        <v>849999999.56999993</v>
      </c>
      <c r="I568" s="60">
        <v>755599999.60000002</v>
      </c>
      <c r="J568" s="60">
        <v>755592000</v>
      </c>
      <c r="K568" s="60">
        <f t="shared" si="312"/>
        <v>94407999.569999933</v>
      </c>
      <c r="L568" s="61">
        <f t="shared" si="309"/>
        <v>0.88893176515557737</v>
      </c>
      <c r="M568" s="60"/>
      <c r="N568" s="24"/>
      <c r="O568" s="9"/>
      <c r="Q568" s="63"/>
      <c r="AK568" s="64"/>
      <c r="AL568" s="64"/>
      <c r="AM568" s="64"/>
      <c r="AN568" s="64"/>
      <c r="AO568" s="11">
        <v>1311112</v>
      </c>
      <c r="AP568" s="65" t="str">
        <f t="shared" si="313"/>
        <v>13111129</v>
      </c>
    </row>
    <row r="569" spans="1:42" s="1" customFormat="1" ht="27.75" customHeight="1" thickTop="1" thickBot="1" x14ac:dyDescent="0.3">
      <c r="A569" s="50" t="s">
        <v>20</v>
      </c>
      <c r="B569" s="50" t="s">
        <v>20</v>
      </c>
      <c r="C569" s="50" t="s">
        <v>20</v>
      </c>
      <c r="D569" s="51">
        <v>1311115</v>
      </c>
      <c r="E569" s="67" t="s">
        <v>97</v>
      </c>
      <c r="F569" s="68" t="e">
        <f>SUMIF($B$570:$B$576,"article",F570:F576)</f>
        <v>#VALUE!</v>
      </c>
      <c r="G569" s="68" t="e">
        <f>SUMIF($B$570:$B$576,"article",G570:G576)</f>
        <v>#VALUE!</v>
      </c>
      <c r="H569" s="68">
        <f>SUMIF($B$570:$B$576,"article",H570:H576)</f>
        <v>19999999.920000002</v>
      </c>
      <c r="I569" s="68">
        <v>20826024.899999999</v>
      </c>
      <c r="J569" s="68">
        <f>SUMIF($B$570:$B$576,"article",J570:J576)</f>
        <v>20816252.240000002</v>
      </c>
      <c r="K569" s="68">
        <f>SUMIF($B$570:$B$576,"article",K570:K576)</f>
        <v>-816252.3200000003</v>
      </c>
      <c r="L569" s="69">
        <f t="shared" si="309"/>
        <v>1.0408126161632505</v>
      </c>
      <c r="M569" s="68"/>
      <c r="N569" s="68"/>
      <c r="O569" s="9"/>
      <c r="Q569" s="23"/>
      <c r="AK569" s="70"/>
      <c r="AL569" s="70"/>
      <c r="AM569" s="70"/>
      <c r="AN569" s="70"/>
      <c r="AO569" s="11">
        <v>1311215</v>
      </c>
    </row>
    <row r="570" spans="1:42" s="62" customFormat="1" ht="27.75" customHeight="1" thickTop="1" thickBot="1" x14ac:dyDescent="0.3">
      <c r="A570" s="56" t="s">
        <v>22</v>
      </c>
      <c r="B570" s="56" t="s">
        <v>22</v>
      </c>
      <c r="C570" s="57">
        <f t="shared" ref="C570:C576" si="314">IF(A569="SECTION",D569,C569)</f>
        <v>1311115</v>
      </c>
      <c r="D570" s="58">
        <v>1</v>
      </c>
      <c r="E570" s="59" t="str">
        <f t="shared" ref="E570:E576" si="315">IF(D570=1, "DEPENSES DE PERSONNEL",  +IF(D570=2,"DEPENSES DE SERVICES ET CHARGES DIVERSES", +IF(D570=3,"ACHATS DE BIENS DE CONSOMMATION ET PETITS MATERIELS",+IF(D570=4,"IMMOBILISATION CORPORELLE",+IF(D570=5,"IMMOBILISATION INCORPORELLE",+IF(D570=7,"SUBVENTIONS,QUOTES-PARTS ET CONTRIB.,ALLOC, INDEMNISATIONS",+IF(D570=8,"AMORTISSEMENT DE LA DETTE",+IF(D570=9,"AUTRES DEPENSES PUBLIQUES",0))))))))</f>
        <v>DEPENSES DE PERSONNEL</v>
      </c>
      <c r="F570" s="60" t="e">
        <f>SUMIFS([49]mensuel_section_article1!$E$3:$E$962,[49]mensuel_section_article1!$B$3:$B$962,C570,[49]mensuel_section_article1!$C$3:$C$962,D570)</f>
        <v>#VALUE!</v>
      </c>
      <c r="G570" s="60" t="e">
        <f>SUMIFS([49]mensuel_section_article1!$G$3:$G$962,[49]mensuel_section_article1!$B$3:$B$962,C570,[49]mensuel_section_article1!$C$3:$C$962,D570)</f>
        <v>#VALUE!</v>
      </c>
      <c r="H570" s="60">
        <v>15675999.92</v>
      </c>
      <c r="I570" s="60">
        <v>16502024.899999999</v>
      </c>
      <c r="J570" s="60">
        <v>16502015.630000001</v>
      </c>
      <c r="K570" s="60">
        <f t="shared" ref="K570:K576" si="316">+H570-J570</f>
        <v>-826015.71000000089</v>
      </c>
      <c r="L570" s="61">
        <f t="shared" si="309"/>
        <v>1.0526930157065222</v>
      </c>
      <c r="M570" s="60"/>
      <c r="N570" s="24"/>
      <c r="O570" s="9"/>
      <c r="Q570" s="63"/>
      <c r="AK570" s="64"/>
      <c r="AL570" s="64"/>
      <c r="AM570" s="64"/>
      <c r="AN570" s="64"/>
      <c r="AO570" s="11">
        <v>1311115</v>
      </c>
      <c r="AP570" s="65" t="str">
        <f t="shared" ref="AP570:AP576" si="317">CONCATENATE(AO570,D570)</f>
        <v>13111151</v>
      </c>
    </row>
    <row r="571" spans="1:42" s="62" customFormat="1" ht="27.75" customHeight="1" thickTop="1" thickBot="1" x14ac:dyDescent="0.3">
      <c r="A571" s="56" t="s">
        <v>22</v>
      </c>
      <c r="B571" s="56" t="s">
        <v>22</v>
      </c>
      <c r="C571" s="57">
        <f t="shared" si="314"/>
        <v>1311115</v>
      </c>
      <c r="D571" s="58">
        <v>2</v>
      </c>
      <c r="E571" s="59" t="str">
        <f t="shared" si="315"/>
        <v>DEPENSES DE SERVICES ET CHARGES DIVERSES</v>
      </c>
      <c r="F571" s="60" t="e">
        <f>SUMIFS([49]mensuel_section_article1!$E$3:$E$962,[49]mensuel_section_article1!$B$3:$B$962,C571,[49]mensuel_section_article1!$C$3:$C$962,D571)</f>
        <v>#VALUE!</v>
      </c>
      <c r="G571" s="60" t="e">
        <f>SUMIFS([49]mensuel_section_article1!$G$3:$G$962,[49]mensuel_section_article1!$B$3:$B$962,C571,[49]mensuel_section_article1!$C$3:$C$962,D571)</f>
        <v>#VALUE!</v>
      </c>
      <c r="H571" s="60">
        <v>4324000</v>
      </c>
      <c r="I571" s="60">
        <v>4324000</v>
      </c>
      <c r="J571" s="60">
        <v>4314236.6099999994</v>
      </c>
      <c r="K571" s="60">
        <f t="shared" si="316"/>
        <v>9763.390000000596</v>
      </c>
      <c r="L571" s="61">
        <f t="shared" si="309"/>
        <v>0.99774204671600353</v>
      </c>
      <c r="M571" s="60"/>
      <c r="N571" s="24"/>
      <c r="O571" s="9"/>
      <c r="Q571" s="63"/>
      <c r="AK571" s="64"/>
      <c r="AL571" s="64"/>
      <c r="AM571" s="64"/>
      <c r="AN571" s="64"/>
      <c r="AO571" s="11">
        <v>1311115</v>
      </c>
      <c r="AP571" s="65" t="str">
        <f t="shared" si="317"/>
        <v>13111152</v>
      </c>
    </row>
    <row r="572" spans="1:42" s="62" customFormat="1" ht="27.75" hidden="1" customHeight="1" thickTop="1" thickBot="1" x14ac:dyDescent="0.3">
      <c r="A572" s="56" t="s">
        <v>22</v>
      </c>
      <c r="B572" s="56" t="s">
        <v>22</v>
      </c>
      <c r="C572" s="57">
        <f t="shared" si="314"/>
        <v>1311115</v>
      </c>
      <c r="D572" s="58">
        <v>3</v>
      </c>
      <c r="E572" s="59" t="str">
        <f t="shared" si="315"/>
        <v>ACHATS DE BIENS DE CONSOMMATION ET PETITS MATERIELS</v>
      </c>
      <c r="F572" s="60" t="e">
        <f>SUMIFS([49]mensuel_section_article1!$E$3:$E$962,[49]mensuel_section_article1!$B$3:$B$962,C572,[49]mensuel_section_article1!$C$3:$C$962,D572)</f>
        <v>#VALUE!</v>
      </c>
      <c r="G572" s="60" t="e">
        <f>SUMIFS([49]mensuel_section_article1!$G$3:$G$962,[49]mensuel_section_article1!$B$3:$B$962,C572,[49]mensuel_section_article1!$C$3:$C$962,D572)</f>
        <v>#VALUE!</v>
      </c>
      <c r="H572" s="60">
        <v>0</v>
      </c>
      <c r="I572" s="60">
        <v>0</v>
      </c>
      <c r="J572" s="60">
        <v>0</v>
      </c>
      <c r="K572" s="60">
        <f t="shared" si="316"/>
        <v>0</v>
      </c>
      <c r="L572" s="61" t="e">
        <f>IF(F572&lt;&gt;0,K572/F572,0)</f>
        <v>#VALUE!</v>
      </c>
      <c r="M572" s="60" t="e">
        <f>+SUMIFS([51]section_article!$H$10:$H$936,[51]section_article!$C$10:$C$936,C572,[51]section_article!$D$10:$D$936,D572)</f>
        <v>#VALUE!</v>
      </c>
      <c r="N572" s="24" t="e">
        <f t="shared" ref="N570:N576" si="318">+J572-M572</f>
        <v>#VALUE!</v>
      </c>
      <c r="O572" s="9"/>
      <c r="Q572" s="63"/>
      <c r="AK572" s="64"/>
      <c r="AL572" s="64"/>
      <c r="AM572" s="64"/>
      <c r="AN572" s="64"/>
      <c r="AO572" s="11">
        <v>1311115</v>
      </c>
      <c r="AP572" s="65" t="str">
        <f t="shared" si="317"/>
        <v>13111153</v>
      </c>
    </row>
    <row r="573" spans="1:42" s="62" customFormat="1" ht="27.75" hidden="1" customHeight="1" thickTop="1" thickBot="1" x14ac:dyDescent="0.3">
      <c r="A573" s="56" t="s">
        <v>22</v>
      </c>
      <c r="B573" s="56" t="s">
        <v>22</v>
      </c>
      <c r="C573" s="57">
        <f t="shared" si="314"/>
        <v>1311115</v>
      </c>
      <c r="D573" s="58">
        <v>4</v>
      </c>
      <c r="E573" s="59" t="str">
        <f t="shared" si="315"/>
        <v>IMMOBILISATION CORPORELLE</v>
      </c>
      <c r="F573" s="60" t="e">
        <f>SUMIFS([49]mensuel_section_article1!$E$3:$E$962,[49]mensuel_section_article1!$B$3:$B$962,C573,[49]mensuel_section_article1!$C$3:$C$962,D573)</f>
        <v>#VALUE!</v>
      </c>
      <c r="G573" s="60" t="e">
        <f>SUMIFS([49]mensuel_section_article1!$G$3:$G$962,[49]mensuel_section_article1!$B$3:$B$962,C573,[49]mensuel_section_article1!$C$3:$C$962,D573)</f>
        <v>#VALUE!</v>
      </c>
      <c r="H573" s="60">
        <v>0</v>
      </c>
      <c r="I573" s="60">
        <v>0</v>
      </c>
      <c r="J573" s="60">
        <v>0</v>
      </c>
      <c r="K573" s="60">
        <f t="shared" si="316"/>
        <v>0</v>
      </c>
      <c r="L573" s="61" t="e">
        <f>IF(F573&lt;&gt;0,K573/F573,0)</f>
        <v>#VALUE!</v>
      </c>
      <c r="M573" s="60" t="e">
        <f>+SUMIFS([51]section_article!$H$10:$H$936,[51]section_article!$C$10:$C$936,C573,[51]section_article!$D$10:$D$936,D573)</f>
        <v>#VALUE!</v>
      </c>
      <c r="N573" s="24" t="e">
        <f t="shared" si="318"/>
        <v>#VALUE!</v>
      </c>
      <c r="O573" s="9"/>
      <c r="Q573" s="63"/>
      <c r="AK573" s="64"/>
      <c r="AL573" s="64"/>
      <c r="AM573" s="64"/>
      <c r="AN573" s="64"/>
      <c r="AO573" s="11">
        <v>1311115</v>
      </c>
      <c r="AP573" s="65" t="str">
        <f t="shared" si="317"/>
        <v>13111154</v>
      </c>
    </row>
    <row r="574" spans="1:42" s="62" customFormat="1" ht="27.75" hidden="1" customHeight="1" thickTop="1" thickBot="1" x14ac:dyDescent="0.3">
      <c r="A574" s="56" t="s">
        <v>22</v>
      </c>
      <c r="B574" s="56" t="s">
        <v>22</v>
      </c>
      <c r="C574" s="57">
        <f t="shared" si="314"/>
        <v>1311115</v>
      </c>
      <c r="D574" s="58">
        <v>5</v>
      </c>
      <c r="E574" s="59" t="str">
        <f t="shared" si="315"/>
        <v>IMMOBILISATION INCORPORELLE</v>
      </c>
      <c r="F574" s="60" t="e">
        <f>SUMIFS([49]mensuel_section_article1!$E$3:$E$962,[49]mensuel_section_article1!$B$3:$B$962,C574,[49]mensuel_section_article1!$C$3:$C$962,D574)</f>
        <v>#VALUE!</v>
      </c>
      <c r="G574" s="60" t="e">
        <f>SUMIFS([49]mensuel_section_article1!$G$3:$G$962,[49]mensuel_section_article1!$B$3:$B$962,C574,[49]mensuel_section_article1!$C$3:$C$962,D574)</f>
        <v>#VALUE!</v>
      </c>
      <c r="H574" s="60">
        <v>0</v>
      </c>
      <c r="I574" s="60">
        <v>0</v>
      </c>
      <c r="J574" s="60">
        <v>0</v>
      </c>
      <c r="K574" s="60">
        <f t="shared" si="316"/>
        <v>0</v>
      </c>
      <c r="L574" s="61" t="e">
        <f>IF(F574&lt;&gt;0,K574/F574,0)</f>
        <v>#VALUE!</v>
      </c>
      <c r="M574" s="60" t="e">
        <f>+SUMIFS([51]section_article!$H$10:$H$936,[51]section_article!$C$10:$C$936,C574,[51]section_article!$D$10:$D$936,D574)</f>
        <v>#VALUE!</v>
      </c>
      <c r="N574" s="24" t="e">
        <f t="shared" si="318"/>
        <v>#VALUE!</v>
      </c>
      <c r="O574" s="9"/>
      <c r="Q574" s="63"/>
      <c r="AK574" s="64"/>
      <c r="AL574" s="64"/>
      <c r="AM574" s="64"/>
      <c r="AN574" s="64"/>
      <c r="AO574" s="11">
        <v>1311115</v>
      </c>
      <c r="AP574" s="65" t="str">
        <f t="shared" si="317"/>
        <v>13111155</v>
      </c>
    </row>
    <row r="575" spans="1:42" s="62" customFormat="1" ht="27.75" hidden="1" customHeight="1" thickTop="1" thickBot="1" x14ac:dyDescent="0.3">
      <c r="A575" s="56" t="s">
        <v>22</v>
      </c>
      <c r="B575" s="56" t="s">
        <v>22</v>
      </c>
      <c r="C575" s="57">
        <f t="shared" si="314"/>
        <v>1311115</v>
      </c>
      <c r="D575" s="58">
        <v>7</v>
      </c>
      <c r="E575" s="59" t="str">
        <f t="shared" si="315"/>
        <v>SUBVENTIONS,QUOTES-PARTS ET CONTRIB.,ALLOC, INDEMNISATIONS</v>
      </c>
      <c r="F575" s="60" t="e">
        <f>SUMIFS([49]mensuel_section_article1!$E$3:$E$962,[49]mensuel_section_article1!$B$3:$B$962,C575,[49]mensuel_section_article1!$C$3:$C$962,D575)</f>
        <v>#VALUE!</v>
      </c>
      <c r="G575" s="60" t="e">
        <f>SUMIFS([49]mensuel_section_article1!$G$3:$G$962,[49]mensuel_section_article1!$B$3:$B$962,C575,[49]mensuel_section_article1!$C$3:$C$962,D575)</f>
        <v>#VALUE!</v>
      </c>
      <c r="H575" s="60">
        <v>0</v>
      </c>
      <c r="I575" s="60">
        <v>0</v>
      </c>
      <c r="J575" s="60">
        <v>0</v>
      </c>
      <c r="K575" s="60">
        <f t="shared" si="316"/>
        <v>0</v>
      </c>
      <c r="L575" s="61" t="e">
        <f>IF(F575&lt;&gt;0,K575/F575,0)</f>
        <v>#VALUE!</v>
      </c>
      <c r="M575" s="60" t="e">
        <f>+SUMIFS([51]section_article!$H$10:$H$936,[51]section_article!$C$10:$C$936,C575,[51]section_article!$D$10:$D$936,D575)</f>
        <v>#VALUE!</v>
      </c>
      <c r="N575" s="24" t="e">
        <f t="shared" si="318"/>
        <v>#VALUE!</v>
      </c>
      <c r="O575" s="9"/>
      <c r="Q575" s="63"/>
      <c r="AK575" s="64"/>
      <c r="AL575" s="64"/>
      <c r="AM575" s="64"/>
      <c r="AN575" s="64"/>
      <c r="AO575" s="11">
        <v>1311115</v>
      </c>
      <c r="AP575" s="65" t="str">
        <f t="shared" si="317"/>
        <v>13111157</v>
      </c>
    </row>
    <row r="576" spans="1:42" s="62" customFormat="1" ht="27.75" hidden="1" customHeight="1" thickTop="1" thickBot="1" x14ac:dyDescent="0.3">
      <c r="A576" s="56" t="s">
        <v>22</v>
      </c>
      <c r="B576" s="56" t="s">
        <v>22</v>
      </c>
      <c r="C576" s="57">
        <f t="shared" si="314"/>
        <v>1311115</v>
      </c>
      <c r="D576" s="58">
        <v>9</v>
      </c>
      <c r="E576" s="59" t="str">
        <f t="shared" si="315"/>
        <v>AUTRES DEPENSES PUBLIQUES</v>
      </c>
      <c r="F576" s="60" t="e">
        <f>SUMIFS([49]mensuel_section_article1!$E$3:$E$962,[49]mensuel_section_article1!$B$3:$B$962,C576,[49]mensuel_section_article1!$C$3:$C$962,D576)</f>
        <v>#VALUE!</v>
      </c>
      <c r="G576" s="60" t="e">
        <f>SUMIFS([49]mensuel_section_article1!$G$3:$G$962,[49]mensuel_section_article1!$B$3:$B$962,C576,[49]mensuel_section_article1!$C$3:$C$962,D576)</f>
        <v>#VALUE!</v>
      </c>
      <c r="H576" s="60">
        <v>0</v>
      </c>
      <c r="I576" s="60">
        <v>0</v>
      </c>
      <c r="J576" s="60">
        <v>0</v>
      </c>
      <c r="K576" s="60">
        <f t="shared" si="316"/>
        <v>0</v>
      </c>
      <c r="L576" s="61" t="e">
        <f>IF(F576&lt;&gt;0,K576/F576,0)</f>
        <v>#VALUE!</v>
      </c>
      <c r="M576" s="60" t="e">
        <f>+SUMIFS([51]section_article!$H$10:$H$936,[51]section_article!$C$10:$C$936,C576,[51]section_article!$D$10:$D$936,D576)</f>
        <v>#VALUE!</v>
      </c>
      <c r="N576" s="24" t="e">
        <f t="shared" si="318"/>
        <v>#VALUE!</v>
      </c>
      <c r="O576" s="9"/>
      <c r="Q576" s="63"/>
      <c r="AK576" s="64"/>
      <c r="AL576" s="64"/>
      <c r="AM576" s="64"/>
      <c r="AN576" s="64"/>
      <c r="AO576" s="11">
        <v>1311115</v>
      </c>
      <c r="AP576" s="65" t="str">
        <f t="shared" si="317"/>
        <v>13111159</v>
      </c>
    </row>
    <row r="577" spans="1:42" s="1" customFormat="1" ht="27.75" customHeight="1" thickTop="1" thickBot="1" x14ac:dyDescent="0.3">
      <c r="A577" s="50" t="s">
        <v>20</v>
      </c>
      <c r="B577" s="50" t="s">
        <v>20</v>
      </c>
      <c r="C577" s="50" t="s">
        <v>20</v>
      </c>
      <c r="D577" s="51">
        <v>1311117</v>
      </c>
      <c r="E577" s="67" t="s">
        <v>98</v>
      </c>
      <c r="F577" s="68" t="e">
        <f>SUMIF($B$578:$B$584,"article",F578:F584)</f>
        <v>#VALUE!</v>
      </c>
      <c r="G577" s="68" t="e">
        <f>SUMIF($B$578:$B$584,"article",G578:G584)</f>
        <v>#VALUE!</v>
      </c>
      <c r="H577" s="68">
        <f>SUMIF($B$578:$B$584,"article",H578:H584)</f>
        <v>319390010</v>
      </c>
      <c r="I577" s="68">
        <v>402649498.32000005</v>
      </c>
      <c r="J577" s="68">
        <f>SUMIF($B$578:$B$584,"article",J578:J584)</f>
        <v>379889255.65999997</v>
      </c>
      <c r="K577" s="68">
        <f>SUMIF($B$578:$B$584,"article",K578:K584)</f>
        <v>-60499245.659999967</v>
      </c>
      <c r="L577" s="69">
        <f>+J577/H577</f>
        <v>1.1894212209705619</v>
      </c>
      <c r="M577" s="68"/>
      <c r="N577" s="68"/>
      <c r="O577" s="9"/>
      <c r="Q577" s="23"/>
      <c r="AK577" s="70"/>
      <c r="AL577" s="70"/>
      <c r="AM577" s="70"/>
      <c r="AN577" s="70"/>
      <c r="AO577" s="11">
        <v>1311117</v>
      </c>
    </row>
    <row r="578" spans="1:42" s="62" customFormat="1" ht="27.75" customHeight="1" thickTop="1" thickBot="1" x14ac:dyDescent="0.3">
      <c r="A578" s="56" t="s">
        <v>22</v>
      </c>
      <c r="B578" s="56" t="s">
        <v>22</v>
      </c>
      <c r="C578" s="57">
        <f t="shared" ref="C578:C584" si="319">IF(A577="SECTION",D577,C577)</f>
        <v>1311117</v>
      </c>
      <c r="D578" s="58">
        <v>1</v>
      </c>
      <c r="E578" s="59" t="str">
        <f t="shared" ref="E578:E584" si="320">IF(D578=1, "DEPENSES DE PERSONNEL",  +IF(D578=2,"DEPENSES DE SERVICES ET CHARGES DIVERSES", +IF(D578=3,"ACHATS DE BIENS DE CONSOMMATION ET PETITS MATERIELS",+IF(D578=4,"IMMOBILISATION CORPORELLE",+IF(D578=5,"IMMOBILISATION INCORPORELLE",+IF(D578=7,"SUBVENTIONS,QUOTES-PARTS ET CONTRIB.,ALLOC, INDEMNISATIONS",+IF(D578=8,"AMORTISSEMENT DE LA DETTE",+IF(D578=9,"AUTRES DEPENSES PUBLIQUES",0))))))))</f>
        <v>DEPENSES DE PERSONNEL</v>
      </c>
      <c r="F578" s="60" t="e">
        <f>SUMIFS([49]mensuel_section_article1!$E$3:$E$962,[49]mensuel_section_article1!$B$3:$B$962,C578,[49]mensuel_section_article1!$C$3:$C$962,D578)</f>
        <v>#VALUE!</v>
      </c>
      <c r="G578" s="60" t="e">
        <f>SUMIFS([49]mensuel_section_article1!$G$3:$G$962,[49]mensuel_section_article1!$B$3:$B$962,C578,[49]mensuel_section_article1!$C$3:$C$962,D578)</f>
        <v>#VALUE!</v>
      </c>
      <c r="H578" s="60">
        <v>262068010</v>
      </c>
      <c r="I578" s="60">
        <v>345327498.32000005</v>
      </c>
      <c r="J578" s="60">
        <v>322567280.65999997</v>
      </c>
      <c r="K578" s="60">
        <f t="shared" ref="K578:K584" si="321">+H578-J578</f>
        <v>-60499270.659999967</v>
      </c>
      <c r="L578" s="61">
        <f>+J578/H578</f>
        <v>1.2308533218533615</v>
      </c>
      <c r="M578" s="60"/>
      <c r="N578" s="24"/>
      <c r="O578" s="9"/>
      <c r="Q578" s="63"/>
      <c r="AK578" s="64"/>
      <c r="AL578" s="64"/>
      <c r="AM578" s="64"/>
      <c r="AN578" s="64"/>
      <c r="AO578" s="11">
        <v>1311117</v>
      </c>
      <c r="AP578" s="65" t="str">
        <f t="shared" ref="AP578:AP584" si="322">CONCATENATE(AO578,D578)</f>
        <v>13111171</v>
      </c>
    </row>
    <row r="579" spans="1:42" s="62" customFormat="1" ht="27.75" customHeight="1" thickTop="1" thickBot="1" x14ac:dyDescent="0.3">
      <c r="A579" s="56" t="s">
        <v>22</v>
      </c>
      <c r="B579" s="56" t="s">
        <v>22</v>
      </c>
      <c r="C579" s="57">
        <f t="shared" si="319"/>
        <v>1311117</v>
      </c>
      <c r="D579" s="58">
        <v>2</v>
      </c>
      <c r="E579" s="59" t="str">
        <f t="shared" si="320"/>
        <v>DEPENSES DE SERVICES ET CHARGES DIVERSES</v>
      </c>
      <c r="F579" s="60" t="e">
        <f>SUMIFS([49]mensuel_section_article1!$E$3:$E$962,[49]mensuel_section_article1!$B$3:$B$962,C579,[49]mensuel_section_article1!$C$3:$C$962,D579)</f>
        <v>#VALUE!</v>
      </c>
      <c r="G579" s="60" t="e">
        <f>SUMIFS([49]mensuel_section_article1!$G$3:$G$962,[49]mensuel_section_article1!$B$3:$B$962,C579,[49]mensuel_section_article1!$C$3:$C$962,D579)</f>
        <v>#VALUE!</v>
      </c>
      <c r="H579" s="60">
        <v>57322000</v>
      </c>
      <c r="I579" s="60">
        <v>57322000</v>
      </c>
      <c r="J579" s="60">
        <v>57321975</v>
      </c>
      <c r="K579" s="60">
        <f t="shared" si="321"/>
        <v>25</v>
      </c>
      <c r="L579" s="61">
        <f>+J579/H579</f>
        <v>0.99999956386727606</v>
      </c>
      <c r="M579" s="60"/>
      <c r="N579" s="24"/>
      <c r="O579" s="9"/>
      <c r="Q579" s="63"/>
      <c r="AK579" s="64"/>
      <c r="AL579" s="64"/>
      <c r="AM579" s="64"/>
      <c r="AN579" s="64"/>
      <c r="AO579" s="11">
        <v>1311117</v>
      </c>
      <c r="AP579" s="65" t="str">
        <f t="shared" si="322"/>
        <v>13111172</v>
      </c>
    </row>
    <row r="580" spans="1:42" s="62" customFormat="1" ht="27.75" hidden="1" customHeight="1" thickTop="1" thickBot="1" x14ac:dyDescent="0.3">
      <c r="A580" s="56" t="s">
        <v>22</v>
      </c>
      <c r="B580" s="56" t="s">
        <v>22</v>
      </c>
      <c r="C580" s="57">
        <f t="shared" si="319"/>
        <v>1311117</v>
      </c>
      <c r="D580" s="58">
        <v>3</v>
      </c>
      <c r="E580" s="59" t="str">
        <f t="shared" si="320"/>
        <v>ACHATS DE BIENS DE CONSOMMATION ET PETITS MATERIELS</v>
      </c>
      <c r="F580" s="60" t="e">
        <f>SUMIFS([49]mensuel_section_article1!$E$3:$E$962,[49]mensuel_section_article1!$B$3:$B$962,C580,[49]mensuel_section_article1!$C$3:$C$962,D580)</f>
        <v>#VALUE!</v>
      </c>
      <c r="G580" s="60" t="e">
        <f>SUMIFS([49]mensuel_section_article1!$G$3:$G$962,[49]mensuel_section_article1!$B$3:$B$962,C580,[49]mensuel_section_article1!$C$3:$C$962,D580)</f>
        <v>#VALUE!</v>
      </c>
      <c r="H580" s="60">
        <v>0</v>
      </c>
      <c r="I580" s="60">
        <v>0</v>
      </c>
      <c r="J580" s="60">
        <v>0</v>
      </c>
      <c r="K580" s="60">
        <f t="shared" si="321"/>
        <v>0</v>
      </c>
      <c r="L580" s="61" t="e">
        <f>IF(F580&lt;&gt;0,K580/F580,0)</f>
        <v>#VALUE!</v>
      </c>
      <c r="M580" s="60" t="e">
        <f>+SUMIFS([51]section_article!$H$10:$H$936,[51]section_article!$C$10:$C$936,C580,[51]section_article!$D$10:$D$936,D580)</f>
        <v>#VALUE!</v>
      </c>
      <c r="N580" s="24" t="e">
        <f t="shared" ref="N578:N584" si="323">+J580-M580</f>
        <v>#VALUE!</v>
      </c>
      <c r="O580" s="9"/>
      <c r="Q580" s="63"/>
      <c r="AK580" s="64"/>
      <c r="AL580" s="64"/>
      <c r="AM580" s="64"/>
      <c r="AN580" s="64"/>
      <c r="AO580" s="11">
        <v>1311117</v>
      </c>
      <c r="AP580" s="65" t="str">
        <f t="shared" si="322"/>
        <v>13111173</v>
      </c>
    </row>
    <row r="581" spans="1:42" s="62" customFormat="1" ht="27.75" hidden="1" customHeight="1" thickTop="1" thickBot="1" x14ac:dyDescent="0.3">
      <c r="A581" s="56" t="s">
        <v>22</v>
      </c>
      <c r="B581" s="56" t="s">
        <v>22</v>
      </c>
      <c r="C581" s="57">
        <f t="shared" si="319"/>
        <v>1311117</v>
      </c>
      <c r="D581" s="58">
        <v>4</v>
      </c>
      <c r="E581" s="59" t="str">
        <f t="shared" si="320"/>
        <v>IMMOBILISATION CORPORELLE</v>
      </c>
      <c r="F581" s="60" t="e">
        <f>SUMIFS([49]mensuel_section_article1!$E$3:$E$962,[49]mensuel_section_article1!$B$3:$B$962,C581,[49]mensuel_section_article1!$C$3:$C$962,D581)</f>
        <v>#VALUE!</v>
      </c>
      <c r="G581" s="60" t="e">
        <f>SUMIFS([49]mensuel_section_article1!$G$3:$G$962,[49]mensuel_section_article1!$B$3:$B$962,C581,[49]mensuel_section_article1!$C$3:$C$962,D581)</f>
        <v>#VALUE!</v>
      </c>
      <c r="H581" s="60">
        <v>0</v>
      </c>
      <c r="I581" s="60">
        <v>0</v>
      </c>
      <c r="J581" s="60">
        <v>0</v>
      </c>
      <c r="K581" s="60">
        <f t="shared" si="321"/>
        <v>0</v>
      </c>
      <c r="L581" s="61" t="e">
        <f>IF(F581&lt;&gt;0,K581/F581,0)</f>
        <v>#VALUE!</v>
      </c>
      <c r="M581" s="60" t="e">
        <f>+SUMIFS([51]section_article!$H$10:$H$936,[51]section_article!$C$10:$C$936,C581,[51]section_article!$D$10:$D$936,D581)</f>
        <v>#VALUE!</v>
      </c>
      <c r="N581" s="24" t="e">
        <f t="shared" si="323"/>
        <v>#VALUE!</v>
      </c>
      <c r="O581" s="9"/>
      <c r="Q581" s="63"/>
      <c r="AK581" s="64"/>
      <c r="AL581" s="64"/>
      <c r="AM581" s="64"/>
      <c r="AN581" s="64"/>
      <c r="AO581" s="11">
        <v>1311117</v>
      </c>
      <c r="AP581" s="65" t="str">
        <f t="shared" si="322"/>
        <v>13111174</v>
      </c>
    </row>
    <row r="582" spans="1:42" s="62" customFormat="1" ht="27.75" hidden="1" customHeight="1" thickTop="1" thickBot="1" x14ac:dyDescent="0.3">
      <c r="A582" s="56" t="s">
        <v>22</v>
      </c>
      <c r="B582" s="56" t="s">
        <v>22</v>
      </c>
      <c r="C582" s="57">
        <f t="shared" si="319"/>
        <v>1311117</v>
      </c>
      <c r="D582" s="58">
        <v>5</v>
      </c>
      <c r="E582" s="59" t="str">
        <f t="shared" si="320"/>
        <v>IMMOBILISATION INCORPORELLE</v>
      </c>
      <c r="F582" s="60" t="e">
        <f>SUMIFS([49]mensuel_section_article1!$E$3:$E$962,[49]mensuel_section_article1!$B$3:$B$962,C582,[49]mensuel_section_article1!$C$3:$C$962,D582)</f>
        <v>#VALUE!</v>
      </c>
      <c r="G582" s="60" t="e">
        <f>SUMIFS([49]mensuel_section_article1!$G$3:$G$962,[49]mensuel_section_article1!$B$3:$B$962,C582,[49]mensuel_section_article1!$C$3:$C$962,D582)</f>
        <v>#VALUE!</v>
      </c>
      <c r="H582" s="60">
        <v>0</v>
      </c>
      <c r="I582" s="60">
        <v>0</v>
      </c>
      <c r="J582" s="60">
        <v>0</v>
      </c>
      <c r="K582" s="60">
        <f t="shared" si="321"/>
        <v>0</v>
      </c>
      <c r="L582" s="61" t="e">
        <f>IF(F582&lt;&gt;0,K582/F582,0)</f>
        <v>#VALUE!</v>
      </c>
      <c r="M582" s="60" t="e">
        <f>+SUMIFS([51]section_article!$H$10:$H$936,[51]section_article!$C$10:$C$936,C582,[51]section_article!$D$10:$D$936,D582)</f>
        <v>#VALUE!</v>
      </c>
      <c r="N582" s="24" t="e">
        <f t="shared" si="323"/>
        <v>#VALUE!</v>
      </c>
      <c r="O582" s="9"/>
      <c r="Q582" s="63"/>
      <c r="AK582" s="64"/>
      <c r="AL582" s="64"/>
      <c r="AM582" s="64"/>
      <c r="AN582" s="64"/>
      <c r="AO582" s="11">
        <v>1311117</v>
      </c>
      <c r="AP582" s="65" t="str">
        <f t="shared" si="322"/>
        <v>13111175</v>
      </c>
    </row>
    <row r="583" spans="1:42" s="62" customFormat="1" ht="27.75" hidden="1" customHeight="1" thickTop="1" thickBot="1" x14ac:dyDescent="0.3">
      <c r="A583" s="56" t="s">
        <v>22</v>
      </c>
      <c r="B583" s="56" t="s">
        <v>22</v>
      </c>
      <c r="C583" s="57">
        <f t="shared" si="319"/>
        <v>1311117</v>
      </c>
      <c r="D583" s="58">
        <v>7</v>
      </c>
      <c r="E583" s="59" t="str">
        <f t="shared" si="320"/>
        <v>SUBVENTIONS,QUOTES-PARTS ET CONTRIB.,ALLOC, INDEMNISATIONS</v>
      </c>
      <c r="F583" s="60" t="e">
        <f>SUMIFS([49]mensuel_section_article1!$E$3:$E$962,[49]mensuel_section_article1!$B$3:$B$962,C583,[49]mensuel_section_article1!$C$3:$C$962,D583)</f>
        <v>#VALUE!</v>
      </c>
      <c r="G583" s="60" t="e">
        <f>SUMIFS([49]mensuel_section_article1!$G$3:$G$962,[49]mensuel_section_article1!$B$3:$B$962,C583,[49]mensuel_section_article1!$C$3:$C$962,D583)</f>
        <v>#VALUE!</v>
      </c>
      <c r="H583" s="60">
        <v>0</v>
      </c>
      <c r="I583" s="60">
        <v>0</v>
      </c>
      <c r="J583" s="60">
        <v>0</v>
      </c>
      <c r="K583" s="60">
        <f t="shared" si="321"/>
        <v>0</v>
      </c>
      <c r="L583" s="61" t="e">
        <f>IF(F583&lt;&gt;0,K583/F583,0)</f>
        <v>#VALUE!</v>
      </c>
      <c r="M583" s="60" t="e">
        <f>+SUMIFS([51]section_article!$H$10:$H$936,[51]section_article!$C$10:$C$936,C583,[51]section_article!$D$10:$D$936,D583)</f>
        <v>#VALUE!</v>
      </c>
      <c r="N583" s="24" t="e">
        <f t="shared" si="323"/>
        <v>#VALUE!</v>
      </c>
      <c r="O583" s="9"/>
      <c r="Q583" s="63"/>
      <c r="AK583" s="64"/>
      <c r="AL583" s="64"/>
      <c r="AM583" s="64"/>
      <c r="AN583" s="64"/>
      <c r="AO583" s="11">
        <v>1311117</v>
      </c>
      <c r="AP583" s="65" t="str">
        <f t="shared" si="322"/>
        <v>13111177</v>
      </c>
    </row>
    <row r="584" spans="1:42" s="62" customFormat="1" ht="27.75" hidden="1" customHeight="1" thickTop="1" thickBot="1" x14ac:dyDescent="0.3">
      <c r="A584" s="56" t="s">
        <v>22</v>
      </c>
      <c r="B584" s="56" t="s">
        <v>22</v>
      </c>
      <c r="C584" s="57">
        <f t="shared" si="319"/>
        <v>1311117</v>
      </c>
      <c r="D584" s="58">
        <v>9</v>
      </c>
      <c r="E584" s="59" t="str">
        <f t="shared" si="320"/>
        <v>AUTRES DEPENSES PUBLIQUES</v>
      </c>
      <c r="F584" s="60" t="e">
        <f>SUMIFS([49]mensuel_section_article1!$E$3:$E$962,[49]mensuel_section_article1!$B$3:$B$962,C584,[49]mensuel_section_article1!$C$3:$C$962,D584)</f>
        <v>#VALUE!</v>
      </c>
      <c r="G584" s="60" t="e">
        <f>SUMIFS([49]mensuel_section_article1!$G$3:$G$962,[49]mensuel_section_article1!$B$3:$B$962,C584,[49]mensuel_section_article1!$C$3:$C$962,D584)</f>
        <v>#VALUE!</v>
      </c>
      <c r="H584" s="60">
        <v>0</v>
      </c>
      <c r="I584" s="60">
        <v>0</v>
      </c>
      <c r="J584" s="60">
        <v>0</v>
      </c>
      <c r="K584" s="60">
        <f t="shared" si="321"/>
        <v>0</v>
      </c>
      <c r="L584" s="61" t="e">
        <f>IF(F584&lt;&gt;0,K584/F584,0)</f>
        <v>#VALUE!</v>
      </c>
      <c r="M584" s="60" t="e">
        <f>+SUMIFS([51]section_article!$H$10:$H$936,[51]section_article!$C$10:$C$936,C584,[51]section_article!$D$10:$D$936,D584)</f>
        <v>#VALUE!</v>
      </c>
      <c r="N584" s="24" t="e">
        <f t="shared" si="323"/>
        <v>#VALUE!</v>
      </c>
      <c r="O584" s="9"/>
      <c r="Q584" s="63"/>
      <c r="AK584" s="64"/>
      <c r="AL584" s="64"/>
      <c r="AM584" s="64"/>
      <c r="AN584" s="64"/>
      <c r="AO584" s="11">
        <v>1311117</v>
      </c>
      <c r="AP584" s="65" t="str">
        <f t="shared" si="322"/>
        <v>13111179</v>
      </c>
    </row>
    <row r="585" spans="1:42" s="1" customFormat="1" ht="27.75" customHeight="1" thickTop="1" thickBot="1" x14ac:dyDescent="0.3">
      <c r="A585" s="50" t="s">
        <v>20</v>
      </c>
      <c r="B585" s="50" t="s">
        <v>20</v>
      </c>
      <c r="C585" s="50" t="s">
        <v>20</v>
      </c>
      <c r="D585" s="51">
        <v>1311118</v>
      </c>
      <c r="E585" s="67" t="s">
        <v>99</v>
      </c>
      <c r="F585" s="68" t="e">
        <f>SUMIF($B$586:$B$588,"article",F586:F588)</f>
        <v>#VALUE!</v>
      </c>
      <c r="G585" s="68" t="e">
        <f>SUMIF($B$586:$B$588,"article",G586:G588)</f>
        <v>#VALUE!</v>
      </c>
      <c r="H585" s="68">
        <f>SUMIF($B$586:$B$588,"article",H586:H588)</f>
        <v>76509675.359999999</v>
      </c>
      <c r="I585" s="68">
        <v>76509675.400000006</v>
      </c>
      <c r="J585" s="68">
        <f>SUMIF($B$586:$B$588,"article",J586:J588)</f>
        <v>76476686.140000001</v>
      </c>
      <c r="K585" s="68">
        <f>SUMIF($B$586:$B$588,"article",K586:K588)</f>
        <v>32989.219999995083</v>
      </c>
      <c r="L585" s="69">
        <f>+J585/H585</f>
        <v>0.99956882289926374</v>
      </c>
      <c r="M585" s="68"/>
      <c r="N585" s="68"/>
      <c r="O585" s="86"/>
      <c r="P585" s="86"/>
      <c r="Q585" s="86"/>
      <c r="R585" s="86"/>
      <c r="S585" s="86"/>
      <c r="T585" s="86"/>
      <c r="U585" s="86"/>
      <c r="V585" s="86"/>
      <c r="W585" s="86">
        <f>SUMIF($B$588:$B$588,"article",W588:W588)</f>
        <v>0</v>
      </c>
      <c r="X585" s="86">
        <f>SUMIF($B$588:$B$588,"article",X588:X588)</f>
        <v>0</v>
      </c>
      <c r="Y585" s="86">
        <f>SUMIF($B$588:$B$588,"article",Y588:Y588)</f>
        <v>0</v>
      </c>
      <c r="Z585" s="86">
        <f>SUMIF($B$588:$B$588,"article",Z588:Z588)</f>
        <v>0</v>
      </c>
      <c r="AA585" s="86">
        <f>SUMIF($B$588:$B$588,"article",AA588:AA588)</f>
        <v>0</v>
      </c>
      <c r="AB585" s="86">
        <f>SUMIF($B$588:$B$588,"article",AB588:AB588)</f>
        <v>0</v>
      </c>
      <c r="AC585" s="86">
        <f>SUMIF($B$588:$B$588,"article",AG588:AG588)</f>
        <v>0</v>
      </c>
      <c r="AD585" s="86">
        <f>SUMIF($B$588:$B$588,"article",AD588:AD588)</f>
        <v>0</v>
      </c>
      <c r="AE585" s="86">
        <f>SUMIF($B$588:$B$588,"article",AE588:AE588)</f>
        <v>0</v>
      </c>
      <c r="AF585" s="86">
        <f>SUMIF($B$588:$B$588,"article",AF588:AF588)</f>
        <v>0</v>
      </c>
      <c r="AG585" s="86">
        <f>SUMIF($B$588:$B$588,"article",AG588:AG588)</f>
        <v>0</v>
      </c>
      <c r="AH585" s="86">
        <f>SUMIF($B$588:$B$588,"article",AH588:AH588)</f>
        <v>0</v>
      </c>
      <c r="AI585" s="86">
        <f>SUMIF($B$588:$B$588,"article",AI588:AI588)</f>
        <v>0</v>
      </c>
      <c r="AJ585" s="86"/>
      <c r="AK585" s="86"/>
      <c r="AL585" s="86"/>
      <c r="AM585" s="70"/>
      <c r="AN585" s="70"/>
      <c r="AO585" s="11">
        <v>1311118</v>
      </c>
    </row>
    <row r="586" spans="1:42" s="62" customFormat="1" ht="27.75" customHeight="1" thickTop="1" thickBot="1" x14ac:dyDescent="0.3">
      <c r="A586" s="56" t="s">
        <v>22</v>
      </c>
      <c r="B586" s="56" t="s">
        <v>22</v>
      </c>
      <c r="C586" s="57">
        <f>IF(A585="SECTION",D585,C585)</f>
        <v>1311118</v>
      </c>
      <c r="D586" s="58">
        <v>1</v>
      </c>
      <c r="E586" s="59" t="str">
        <f>IF(D586=1, "DEPENSES DE PERSONNEL",  +IF(D586=2,"DEPENSES DE SERVICES ET CHARGES DIVERSES", +IF(D586=3,"ACHATS DE BIENS DE CONSOMMATION ET PETITS MATERIELS",+IF(D586=4,"IMMOBILISATION CORPORELLE",+IF(D586=5,"IMMOBILISATION INCORPORELLE",+IF(D586=7,"SUBVENTIONS,QUOTES-PARTS ET CONTRIB.,ALLOC, INDEMNISATIONS",+IF(D586=8,"AMORTISSEMENT DE LA DETTE",+IF(D586=9,"AUTRES DEPENSES PUBLIQUES",0))))))))</f>
        <v>DEPENSES DE PERSONNEL</v>
      </c>
      <c r="F586" s="60" t="e">
        <f>SUMIFS([49]mensuel_section_article1!$E$3:$E$962,[49]mensuel_section_article1!$B$3:$B$962,C586,[49]mensuel_section_article1!$C$3:$C$962,D586)</f>
        <v>#VALUE!</v>
      </c>
      <c r="G586" s="60" t="e">
        <f>SUMIFS([49]mensuel_section_article1!$G$3:$G$962,[49]mensuel_section_article1!$B$3:$B$962,C586,[49]mensuel_section_article1!$C$3:$C$962,D586)</f>
        <v>#VALUE!</v>
      </c>
      <c r="H586" s="60">
        <v>20000000</v>
      </c>
      <c r="I586" s="60">
        <v>20000000</v>
      </c>
      <c r="J586" s="60">
        <v>19967966.440000001</v>
      </c>
      <c r="K586" s="60">
        <f t="shared" ref="K586:K588" si="324">+H586-J586</f>
        <v>32033.559999998659</v>
      </c>
      <c r="L586" s="61">
        <f>+J586/H586</f>
        <v>0.99839832200000012</v>
      </c>
      <c r="M586" s="60"/>
      <c r="N586" s="24"/>
      <c r="O586" s="9"/>
      <c r="Q586" s="63"/>
      <c r="AK586" s="64"/>
      <c r="AL586" s="64"/>
      <c r="AM586" s="64"/>
      <c r="AN586" s="64"/>
      <c r="AO586" s="11">
        <v>1311118</v>
      </c>
      <c r="AP586" s="65" t="str">
        <f>CONCATENATE(AO586,D586)</f>
        <v>13111181</v>
      </c>
    </row>
    <row r="587" spans="1:42" s="62" customFormat="1" ht="27.75" customHeight="1" thickTop="1" thickBot="1" x14ac:dyDescent="0.3">
      <c r="A587" s="56" t="s">
        <v>22</v>
      </c>
      <c r="B587" s="56" t="s">
        <v>22</v>
      </c>
      <c r="C587" s="57">
        <f>IF(A585="SECTION",D585,C585)</f>
        <v>1311118</v>
      </c>
      <c r="D587" s="58">
        <v>2</v>
      </c>
      <c r="E587" s="59" t="str">
        <f>IF(D587=1, "DEPENSES DE PERSONNEL",  +IF(D587=2,"DEPENSES DE SERVICES ET CHARGES DIVERSES", +IF(D587=3,"ACHATS DE BIENS DE CONSOMMATION ET PETITS MATERIELS",+IF(D587=4,"IMMOBILISATION CORPORELLE",+IF(D587=5,"IMMOBILISATION INCORPORELLE",+IF(D587=7,"SUBVENTIONS,QUOTES-PARTS ET CONTRIB.,ALLOC, INDEMNISATIONS",+IF(D587=8,"AMORTISSEMENT DE LA DETTE",+IF(D587=9,"AUTRES DEPENSES PUBLIQUES",0))))))))</f>
        <v>DEPENSES DE SERVICES ET CHARGES DIVERSES</v>
      </c>
      <c r="F587" s="60" t="e">
        <f>SUMIFS([49]mensuel_section_article1!$E$3:$E$962,[49]mensuel_section_article1!$B$3:$B$962,C587,[49]mensuel_section_article1!$C$3:$C$962,D587)</f>
        <v>#VALUE!</v>
      </c>
      <c r="G587" s="60" t="e">
        <f>SUMIFS([49]mensuel_section_article1!$G$3:$G$962,[49]mensuel_section_article1!$B$3:$B$962,C587,[49]mensuel_section_article1!$C$3:$C$962,D587)</f>
        <v>#VALUE!</v>
      </c>
      <c r="H587" s="60">
        <v>56509675.359999999</v>
      </c>
      <c r="I587" s="60">
        <v>56509675.399999999</v>
      </c>
      <c r="J587" s="60">
        <v>56508719.700000003</v>
      </c>
      <c r="K587" s="60">
        <f t="shared" si="324"/>
        <v>955.65999999642372</v>
      </c>
      <c r="L587" s="61">
        <f>+J587/H587</f>
        <v>0.99998308855972173</v>
      </c>
      <c r="M587" s="60"/>
      <c r="N587" s="24"/>
      <c r="O587" s="9"/>
      <c r="Q587" s="63"/>
      <c r="AK587" s="64"/>
      <c r="AL587" s="64"/>
      <c r="AM587" s="64"/>
      <c r="AN587" s="64"/>
      <c r="AO587" s="11">
        <v>1311118</v>
      </c>
      <c r="AP587" s="65" t="str">
        <f>CONCATENATE(AO587,D587)</f>
        <v>13111182</v>
      </c>
    </row>
    <row r="588" spans="1:42" s="62" customFormat="1" ht="27.75" hidden="1" customHeight="1" thickTop="1" thickBot="1" x14ac:dyDescent="0.3">
      <c r="A588" s="56" t="s">
        <v>22</v>
      </c>
      <c r="B588" s="56" t="s">
        <v>22</v>
      </c>
      <c r="C588" s="57">
        <f>IF(A586="SECTION",D586,C586)</f>
        <v>1311118</v>
      </c>
      <c r="D588" s="58">
        <v>7</v>
      </c>
      <c r="E588" s="59" t="str">
        <f>IF(D588=1, "DEPENSES DE PERSONNEL",  +IF(D588=2,"DEPENSES DE SERVICES ET CHARGES DIVERSES", +IF(D588=3,"ACHATS DE BIENS DE CONSOMMATION ET PETITS MATERIELS",+IF(D588=4,"IMMOBILISATION CORPORELLE",+IF(D588=5,"IMMOBILISATION INCORPORELLE",+IF(D588=7,"SUBVENTIONS,QUOTES-PARTS ET CONTRIB.,ALLOC, INDEMNISATIONS",+IF(D588=8,"AMORTISSEMENT DE LA DETTE",+IF(D588=9,"AUTRES DEPENSES PUBLIQUES",0))))))))</f>
        <v>SUBVENTIONS,QUOTES-PARTS ET CONTRIB.,ALLOC, INDEMNISATIONS</v>
      </c>
      <c r="F588" s="60" t="e">
        <f>SUMIFS([49]mensuel_section_article1!$E$3:$E$962,[49]mensuel_section_article1!$B$3:$B$962,C588,[49]mensuel_section_article1!$C$3:$C$962,D588)</f>
        <v>#VALUE!</v>
      </c>
      <c r="G588" s="60" t="e">
        <f>SUMIFS([49]mensuel_section_article1!$G$3:$G$962,[49]mensuel_section_article1!$B$3:$B$962,C588,[49]mensuel_section_article1!$C$3:$C$962,D588)</f>
        <v>#VALUE!</v>
      </c>
      <c r="H588" s="60">
        <v>0</v>
      </c>
      <c r="I588" s="60">
        <v>0</v>
      </c>
      <c r="J588" s="60">
        <v>0</v>
      </c>
      <c r="K588" s="60">
        <f t="shared" si="324"/>
        <v>0</v>
      </c>
      <c r="L588" s="61" t="e">
        <f>IF(F588&lt;&gt;0,K588/F588,0)</f>
        <v>#VALUE!</v>
      </c>
      <c r="M588" s="60" t="e">
        <f>+SUMIFS([51]section_article!$H$10:$H$936,[51]section_article!$C$10:$C$936,C588,[51]section_article!$D$10:$D$936,D588)</f>
        <v>#VALUE!</v>
      </c>
      <c r="N588" s="24" t="e">
        <f>+J588-M588</f>
        <v>#VALUE!</v>
      </c>
      <c r="O588" s="9"/>
      <c r="Q588" s="63"/>
      <c r="AK588" s="64"/>
      <c r="AL588" s="64"/>
      <c r="AM588" s="64"/>
      <c r="AN588" s="64"/>
      <c r="AO588" s="11">
        <v>1311118</v>
      </c>
      <c r="AP588" s="65" t="str">
        <f>CONCATENATE(AO588,D588)</f>
        <v>13111187</v>
      </c>
    </row>
    <row r="589" spans="1:42" s="1" customFormat="1" ht="27.75" customHeight="1" thickTop="1" x14ac:dyDescent="0.25">
      <c r="A589" s="37" t="s">
        <v>16</v>
      </c>
      <c r="B589" s="37" t="s">
        <v>16</v>
      </c>
      <c r="C589" s="37" t="s">
        <v>16</v>
      </c>
      <c r="D589" s="73">
        <v>1312</v>
      </c>
      <c r="E589" s="74" t="s">
        <v>100</v>
      </c>
      <c r="F589" s="75" t="e">
        <f>SUMIF($B$590:$B$633,"chap",F590:F633)</f>
        <v>#VALUE!</v>
      </c>
      <c r="G589" s="75" t="e">
        <f>SUMIF($B$590:$B$633,"chap",G590:G633)</f>
        <v>#VALUE!</v>
      </c>
      <c r="H589" s="75">
        <f>SUMIF($B$590:$B$633,"chap",H590:H633)</f>
        <v>1137593398.375</v>
      </c>
      <c r="I589" s="75">
        <v>1087593398.3</v>
      </c>
      <c r="J589" s="75">
        <f>SUMIF($B$590:$B$633,"chap",J590:J633)</f>
        <v>1011531977.22</v>
      </c>
      <c r="K589" s="75">
        <f>SUMIF($B$590:$B$633,"chap",K590:K633)</f>
        <v>126061421.15499991</v>
      </c>
      <c r="L589" s="76">
        <f t="shared" ref="L589:L594" si="325">+J589/H589</f>
        <v>0.88918587138860605</v>
      </c>
      <c r="M589" s="75"/>
      <c r="N589" s="75"/>
      <c r="O589" s="9"/>
      <c r="Q589" s="23"/>
      <c r="AK589" s="77"/>
      <c r="AL589" s="77"/>
      <c r="AM589" s="77"/>
      <c r="AN589" s="77"/>
      <c r="AO589" s="11"/>
    </row>
    <row r="590" spans="1:42" s="49" customFormat="1" ht="27.75" customHeight="1" x14ac:dyDescent="0.25">
      <c r="A590" s="43" t="s">
        <v>19</v>
      </c>
      <c r="B590" s="43" t="s">
        <v>19</v>
      </c>
      <c r="C590" s="43" t="s">
        <v>19</v>
      </c>
      <c r="D590" s="44">
        <v>13121</v>
      </c>
      <c r="E590" s="45" t="str">
        <f>VLOOKUP(D590,[49]INST!$A$1:$B$626,2,FALSE)</f>
        <v>SERVICES INTERNES</v>
      </c>
      <c r="F590" s="46" t="e">
        <f>SUMIF($B$591:$B$633,"section",F591:F633)</f>
        <v>#VALUE!</v>
      </c>
      <c r="G590" s="46" t="e">
        <f>SUMIF($B$591:$B$633,"section",G591:G633)</f>
        <v>#VALUE!</v>
      </c>
      <c r="H590" s="46">
        <f>SUMIF($B$591:$B$633,"section",H591:H633)</f>
        <v>1137593398.375</v>
      </c>
      <c r="I590" s="46">
        <v>1087593398.3</v>
      </c>
      <c r="J590" s="46">
        <f>SUMIF($B$591:$B$633,"section",J591:J633)</f>
        <v>1011531977.22</v>
      </c>
      <c r="K590" s="46">
        <f>SUMIF($B$591:$B$633,"section",K591:K633)</f>
        <v>126061421.15499991</v>
      </c>
      <c r="L590" s="47">
        <f t="shared" si="325"/>
        <v>0.88918587138860605</v>
      </c>
      <c r="M590" s="46"/>
      <c r="N590" s="46"/>
      <c r="O590" s="48"/>
      <c r="AO590" s="11"/>
    </row>
    <row r="591" spans="1:42" s="1" customFormat="1" ht="27.75" customHeight="1" thickBot="1" x14ac:dyDescent="0.3">
      <c r="A591" s="50" t="s">
        <v>20</v>
      </c>
      <c r="B591" s="50" t="s">
        <v>20</v>
      </c>
      <c r="C591" s="50" t="s">
        <v>20</v>
      </c>
      <c r="D591" s="51">
        <v>1312111</v>
      </c>
      <c r="E591" s="67" t="s">
        <v>21</v>
      </c>
      <c r="F591" s="68" t="e">
        <f>SUMIF($B$592:$B$598,"article",F592:F598)</f>
        <v>#VALUE!</v>
      </c>
      <c r="G591" s="68" t="e">
        <f>SUMIF($B$592:$B$598,"article",G592:G598)</f>
        <v>#VALUE!</v>
      </c>
      <c r="H591" s="68">
        <f>SUMIF($B$592:$B$598,"article",H592:H598)</f>
        <v>141836316.06099996</v>
      </c>
      <c r="I591" s="68">
        <v>111922975.08</v>
      </c>
      <c r="J591" s="68">
        <f>SUMIF($B$592:$B$598,"article",J592:J598)</f>
        <v>107691088.09999999</v>
      </c>
      <c r="K591" s="68">
        <f>SUMIF($B$592:$B$598,"article",K592:K598)</f>
        <v>34145227.960999981</v>
      </c>
      <c r="L591" s="69">
        <f t="shared" si="325"/>
        <v>0.75926314988105703</v>
      </c>
      <c r="M591" s="68"/>
      <c r="N591" s="68"/>
      <c r="O591" s="9"/>
      <c r="Q591" s="23"/>
      <c r="AK591" s="70"/>
      <c r="AL591" s="70"/>
      <c r="AM591" s="70"/>
      <c r="AN591" s="70"/>
      <c r="AO591" s="11">
        <v>1312111</v>
      </c>
    </row>
    <row r="592" spans="1:42" s="62" customFormat="1" ht="27.75" customHeight="1" thickTop="1" thickBot="1" x14ac:dyDescent="0.3">
      <c r="A592" s="56" t="s">
        <v>22</v>
      </c>
      <c r="B592" s="56" t="s">
        <v>22</v>
      </c>
      <c r="C592" s="57">
        <f t="shared" ref="C592:C598" si="326">IF(A591="SECTION",D591,C591)</f>
        <v>1312111</v>
      </c>
      <c r="D592" s="58">
        <v>1</v>
      </c>
      <c r="E592" s="59" t="str">
        <f t="shared" ref="E592:E598" si="327">IF(D592=1, "DEPENSES DE PERSONNEL",  +IF(D592=2,"DEPENSES DE SERVICES ET CHARGES DIVERSES", +IF(D592=3,"ACHATS DE BIENS DE CONSOMMATION ET PETITS MATERIELS",+IF(D592=4,"IMMOBILISATION CORPORELLE",+IF(D592=5,"IMMOBILISATION INCORPORELLE",+IF(D592=7,"SUBVENTIONS,QUOTES-PARTS ET CONTRIB.,ALLOC, INDEMNISATIONS",+IF(D592=8,"AMORTISSEMENT DE LA DETTE",+IF(D592=9,"AUTRES DEPENSES PUBLIQUES",0))))))))</f>
        <v>DEPENSES DE PERSONNEL</v>
      </c>
      <c r="F592" s="60" t="e">
        <f>SUMIFS([49]mensuel_section_article1!$E$3:$E$962,[49]mensuel_section_article1!$B$3:$B$962,C592,[49]mensuel_section_article1!$C$3:$C$962,D592)</f>
        <v>#VALUE!</v>
      </c>
      <c r="G592" s="60" t="e">
        <f>SUMIFS([49]mensuel_section_article1!$G$3:$G$962,[49]mensuel_section_article1!$B$3:$B$962,C592,[49]mensuel_section_article1!$C$3:$C$962,D592)</f>
        <v>#VALUE!</v>
      </c>
      <c r="H592" s="60">
        <v>109482430.73999998</v>
      </c>
      <c r="I592" s="60">
        <v>94042050.689999998</v>
      </c>
      <c r="J592" s="60">
        <v>92059120</v>
      </c>
      <c r="K592" s="60">
        <f t="shared" ref="K592:K598" si="328">+H592-J592</f>
        <v>17423310.73999998</v>
      </c>
      <c r="L592" s="61">
        <f t="shared" si="325"/>
        <v>0.84085747254390941</v>
      </c>
      <c r="M592" s="60"/>
      <c r="N592" s="24"/>
      <c r="O592" s="9"/>
      <c r="Q592" s="63"/>
      <c r="AK592" s="64"/>
      <c r="AL592" s="64"/>
      <c r="AM592" s="64"/>
      <c r="AN592" s="64"/>
      <c r="AO592" s="11">
        <v>1312111</v>
      </c>
      <c r="AP592" s="65" t="str">
        <f t="shared" ref="AP592:AP598" si="329">CONCATENATE(AO592,D592)</f>
        <v>13121111</v>
      </c>
    </row>
    <row r="593" spans="1:42" s="62" customFormat="1" ht="27.75" customHeight="1" thickTop="1" thickBot="1" x14ac:dyDescent="0.3">
      <c r="A593" s="56" t="s">
        <v>22</v>
      </c>
      <c r="B593" s="56" t="s">
        <v>22</v>
      </c>
      <c r="C593" s="57">
        <f t="shared" si="326"/>
        <v>1312111</v>
      </c>
      <c r="D593" s="58">
        <v>2</v>
      </c>
      <c r="E593" s="59" t="str">
        <f t="shared" si="327"/>
        <v>DEPENSES DE SERVICES ET CHARGES DIVERSES</v>
      </c>
      <c r="F593" s="60" t="e">
        <f>SUMIFS([49]mensuel_section_article1!$E$3:$E$962,[49]mensuel_section_article1!$B$3:$B$962,C593,[49]mensuel_section_article1!$C$3:$C$962,D593)</f>
        <v>#VALUE!</v>
      </c>
      <c r="G593" s="60" t="e">
        <f>SUMIFS([49]mensuel_section_article1!$G$3:$G$962,[49]mensuel_section_article1!$B$3:$B$962,C593,[49]mensuel_section_article1!$C$3:$C$962,D593)</f>
        <v>#VALUE!</v>
      </c>
      <c r="H593" s="60">
        <v>3736572.99</v>
      </c>
      <c r="I593" s="60">
        <v>481573.01</v>
      </c>
      <c r="J593" s="60">
        <v>0</v>
      </c>
      <c r="K593" s="60">
        <f t="shared" si="328"/>
        <v>3736572.99</v>
      </c>
      <c r="L593" s="61">
        <f t="shared" si="325"/>
        <v>0</v>
      </c>
      <c r="M593" s="60"/>
      <c r="N593" s="24"/>
      <c r="O593" s="9"/>
      <c r="Q593" s="63"/>
      <c r="AK593" s="64"/>
      <c r="AL593" s="64"/>
      <c r="AM593" s="64"/>
      <c r="AN593" s="64"/>
      <c r="AO593" s="11">
        <v>1312111</v>
      </c>
      <c r="AP593" s="65" t="str">
        <f t="shared" si="329"/>
        <v>13121112</v>
      </c>
    </row>
    <row r="594" spans="1:42" s="62" customFormat="1" ht="27.75" customHeight="1" thickTop="1" thickBot="1" x14ac:dyDescent="0.3">
      <c r="A594" s="56" t="s">
        <v>22</v>
      </c>
      <c r="B594" s="56" t="s">
        <v>22</v>
      </c>
      <c r="C594" s="57">
        <f t="shared" si="326"/>
        <v>1312111</v>
      </c>
      <c r="D594" s="58">
        <v>3</v>
      </c>
      <c r="E594" s="59" t="str">
        <f t="shared" si="327"/>
        <v>ACHATS DE BIENS DE CONSOMMATION ET PETITS MATERIELS</v>
      </c>
      <c r="F594" s="60" t="e">
        <f>SUMIFS([49]mensuel_section_article1!$E$3:$E$962,[49]mensuel_section_article1!$B$3:$B$962,C594,[49]mensuel_section_article1!$C$3:$C$962,D594)</f>
        <v>#VALUE!</v>
      </c>
      <c r="G594" s="60" t="e">
        <f>SUMIFS([49]mensuel_section_article1!$G$3:$G$962,[49]mensuel_section_article1!$B$3:$B$962,C594,[49]mensuel_section_article1!$C$3:$C$962,D594)</f>
        <v>#VALUE!</v>
      </c>
      <c r="H594" s="60">
        <v>4009140.05</v>
      </c>
      <c r="I594" s="60">
        <v>6291179.0800000001</v>
      </c>
      <c r="J594" s="60">
        <v>6289865</v>
      </c>
      <c r="K594" s="60">
        <f t="shared" si="328"/>
        <v>-2280724.9500000002</v>
      </c>
      <c r="L594" s="61">
        <f t="shared" si="325"/>
        <v>1.5688813365350009</v>
      </c>
      <c r="M594" s="60"/>
      <c r="N594" s="24"/>
      <c r="O594" s="9"/>
      <c r="Q594" s="63"/>
      <c r="AK594" s="64"/>
      <c r="AL594" s="64"/>
      <c r="AM594" s="64"/>
      <c r="AN594" s="64"/>
      <c r="AO594" s="11">
        <v>1312111</v>
      </c>
      <c r="AP594" s="65" t="str">
        <f t="shared" si="329"/>
        <v>13121113</v>
      </c>
    </row>
    <row r="595" spans="1:42" s="62" customFormat="1" ht="27.75" hidden="1" customHeight="1" thickTop="1" thickBot="1" x14ac:dyDescent="0.3">
      <c r="A595" s="56" t="s">
        <v>22</v>
      </c>
      <c r="B595" s="56" t="s">
        <v>22</v>
      </c>
      <c r="C595" s="57">
        <f t="shared" si="326"/>
        <v>1312111</v>
      </c>
      <c r="D595" s="58">
        <v>4</v>
      </c>
      <c r="E595" s="59" t="str">
        <f t="shared" si="327"/>
        <v>IMMOBILISATION CORPORELLE</v>
      </c>
      <c r="F595" s="60" t="e">
        <f>SUMIFS([49]mensuel_section_article1!$E$3:$E$962,[49]mensuel_section_article1!$B$3:$B$962,C595,[49]mensuel_section_article1!$C$3:$C$962,D595)</f>
        <v>#VALUE!</v>
      </c>
      <c r="G595" s="60" t="e">
        <f>SUMIFS([49]mensuel_section_article1!$G$3:$G$962,[49]mensuel_section_article1!$B$3:$B$962,C595,[49]mensuel_section_article1!$C$3:$C$962,D595)</f>
        <v>#VALUE!</v>
      </c>
      <c r="H595" s="60">
        <v>0</v>
      </c>
      <c r="I595" s="60">
        <v>0</v>
      </c>
      <c r="J595" s="60">
        <v>0</v>
      </c>
      <c r="K595" s="60">
        <f t="shared" si="328"/>
        <v>0</v>
      </c>
      <c r="L595" s="61" t="e">
        <f>IF(F595&lt;&gt;0,K595/F595,0)</f>
        <v>#VALUE!</v>
      </c>
      <c r="M595" s="60" t="e">
        <f>+SUMIFS([51]section_article!$H$10:$H$936,[51]section_article!$C$10:$C$936,C595,[51]section_article!$D$10:$D$936,D595)</f>
        <v>#VALUE!</v>
      </c>
      <c r="N595" s="24" t="e">
        <f t="shared" ref="N592:N598" si="330">+J595-M595</f>
        <v>#VALUE!</v>
      </c>
      <c r="O595" s="9"/>
      <c r="Q595" s="63"/>
      <c r="AK595" s="64"/>
      <c r="AL595" s="64"/>
      <c r="AM595" s="64"/>
      <c r="AN595" s="64"/>
      <c r="AO595" s="11">
        <v>1312111</v>
      </c>
      <c r="AP595" s="65" t="str">
        <f t="shared" si="329"/>
        <v>13121114</v>
      </c>
    </row>
    <row r="596" spans="1:42" s="62" customFormat="1" ht="27.75" hidden="1" customHeight="1" thickTop="1" thickBot="1" x14ac:dyDescent="0.3">
      <c r="A596" s="56" t="s">
        <v>22</v>
      </c>
      <c r="B596" s="56" t="s">
        <v>22</v>
      </c>
      <c r="C596" s="57">
        <f t="shared" si="326"/>
        <v>1312111</v>
      </c>
      <c r="D596" s="58">
        <v>5</v>
      </c>
      <c r="E596" s="59" t="str">
        <f t="shared" si="327"/>
        <v>IMMOBILISATION INCORPORELLE</v>
      </c>
      <c r="F596" s="60" t="e">
        <f>SUMIFS([49]mensuel_section_article1!$E$3:$E$962,[49]mensuel_section_article1!$B$3:$B$962,C596,[49]mensuel_section_article1!$C$3:$C$962,D596)</f>
        <v>#VALUE!</v>
      </c>
      <c r="G596" s="60" t="e">
        <f>SUMIFS([49]mensuel_section_article1!$G$3:$G$962,[49]mensuel_section_article1!$B$3:$B$962,C596,[49]mensuel_section_article1!$C$3:$C$962,D596)</f>
        <v>#VALUE!</v>
      </c>
      <c r="H596" s="60">
        <v>0</v>
      </c>
      <c r="I596" s="60">
        <v>0</v>
      </c>
      <c r="J596" s="60">
        <v>0</v>
      </c>
      <c r="K596" s="60">
        <f t="shared" si="328"/>
        <v>0</v>
      </c>
      <c r="L596" s="61" t="e">
        <f>IF(F596&lt;&gt;0,K596/F596,0)</f>
        <v>#VALUE!</v>
      </c>
      <c r="M596" s="60" t="e">
        <f>+SUMIFS([51]section_article!$H$10:$H$936,[51]section_article!$C$10:$C$936,C596,[51]section_article!$D$10:$D$936,D596)</f>
        <v>#VALUE!</v>
      </c>
      <c r="N596" s="24" t="e">
        <f t="shared" si="330"/>
        <v>#VALUE!</v>
      </c>
      <c r="O596" s="9"/>
      <c r="Q596" s="63"/>
      <c r="AK596" s="64"/>
      <c r="AL596" s="64"/>
      <c r="AM596" s="64"/>
      <c r="AN596" s="64"/>
      <c r="AO596" s="11">
        <v>1312111</v>
      </c>
      <c r="AP596" s="65" t="str">
        <f t="shared" si="329"/>
        <v>13121115</v>
      </c>
    </row>
    <row r="597" spans="1:42" s="62" customFormat="1" ht="27.75" customHeight="1" thickTop="1" thickBot="1" x14ac:dyDescent="0.3">
      <c r="A597" s="56" t="s">
        <v>22</v>
      </c>
      <c r="B597" s="56" t="s">
        <v>22</v>
      </c>
      <c r="C597" s="57">
        <f t="shared" si="326"/>
        <v>1312111</v>
      </c>
      <c r="D597" s="58">
        <v>7</v>
      </c>
      <c r="E597" s="59" t="str">
        <f t="shared" si="327"/>
        <v>SUBVENTIONS,QUOTES-PARTS ET CONTRIB.,ALLOC, INDEMNISATIONS</v>
      </c>
      <c r="F597" s="60" t="e">
        <f>SUMIFS([49]mensuel_section_article1!$E$3:$E$962,[49]mensuel_section_article1!$B$3:$B$962,C597,[49]mensuel_section_article1!$C$3:$C$962,D597)</f>
        <v>#VALUE!</v>
      </c>
      <c r="G597" s="60" t="e">
        <f>SUMIFS([49]mensuel_section_article1!$G$3:$G$962,[49]mensuel_section_article1!$B$3:$B$962,C597,[49]mensuel_section_article1!$C$3:$C$962,D597)</f>
        <v>#VALUE!</v>
      </c>
      <c r="H597" s="60">
        <v>1000000</v>
      </c>
      <c r="I597" s="60">
        <v>1000000</v>
      </c>
      <c r="J597" s="60">
        <v>500000</v>
      </c>
      <c r="K597" s="60">
        <f t="shared" si="328"/>
        <v>500000</v>
      </c>
      <c r="L597" s="61">
        <f t="shared" ref="L597:L603" si="331">+J597/H597</f>
        <v>0.5</v>
      </c>
      <c r="M597" s="60"/>
      <c r="N597" s="24"/>
      <c r="O597" s="9"/>
      <c r="Q597" s="63"/>
      <c r="AK597" s="64"/>
      <c r="AL597" s="64"/>
      <c r="AM597" s="64"/>
      <c r="AN597" s="64"/>
      <c r="AO597" s="11">
        <v>1312111</v>
      </c>
      <c r="AP597" s="65" t="str">
        <f t="shared" si="329"/>
        <v>13121117</v>
      </c>
    </row>
    <row r="598" spans="1:42" s="62" customFormat="1" ht="27.75" customHeight="1" thickTop="1" thickBot="1" x14ac:dyDescent="0.3">
      <c r="A598" s="56" t="s">
        <v>22</v>
      </c>
      <c r="B598" s="56" t="s">
        <v>22</v>
      </c>
      <c r="C598" s="57">
        <f t="shared" si="326"/>
        <v>1312111</v>
      </c>
      <c r="D598" s="58">
        <v>9</v>
      </c>
      <c r="E598" s="59" t="str">
        <f t="shared" si="327"/>
        <v>AUTRES DEPENSES PUBLIQUES</v>
      </c>
      <c r="F598" s="60" t="e">
        <f>SUMIFS([49]mensuel_section_article1!$E$3:$E$962,[49]mensuel_section_article1!$B$3:$B$962,C598,[49]mensuel_section_article1!$C$3:$C$962,D598)</f>
        <v>#VALUE!</v>
      </c>
      <c r="G598" s="60" t="e">
        <f>SUMIFS([49]mensuel_section_article1!$G$3:$G$962,[49]mensuel_section_article1!$B$3:$B$962,C598,[49]mensuel_section_article1!$C$3:$C$962,D598)</f>
        <v>#VALUE!</v>
      </c>
      <c r="H598" s="60">
        <v>23608172.280999999</v>
      </c>
      <c r="I598" s="60">
        <v>10108172.300000001</v>
      </c>
      <c r="J598" s="60">
        <v>8842103.0999999996</v>
      </c>
      <c r="K598" s="60">
        <f t="shared" si="328"/>
        <v>14766069.181</v>
      </c>
      <c r="L598" s="61">
        <f t="shared" si="331"/>
        <v>0.37453569021589095</v>
      </c>
      <c r="M598" s="60"/>
      <c r="N598" s="24"/>
      <c r="O598" s="9"/>
      <c r="Q598" s="63"/>
      <c r="AK598" s="64"/>
      <c r="AL598" s="64"/>
      <c r="AM598" s="64"/>
      <c r="AN598" s="64"/>
      <c r="AO598" s="11">
        <v>1312111</v>
      </c>
      <c r="AP598" s="65" t="str">
        <f t="shared" si="329"/>
        <v>13121119</v>
      </c>
    </row>
    <row r="599" spans="1:42" s="1" customFormat="1" ht="27.75" customHeight="1" thickTop="1" thickBot="1" x14ac:dyDescent="0.3">
      <c r="A599" s="50" t="s">
        <v>20</v>
      </c>
      <c r="B599" s="50" t="s">
        <v>20</v>
      </c>
      <c r="C599" s="50" t="s">
        <v>20</v>
      </c>
      <c r="D599" s="51">
        <v>1312112</v>
      </c>
      <c r="E599" s="67" t="s">
        <v>23</v>
      </c>
      <c r="F599" s="68" t="e">
        <f>SUMIF($B$600:$B$606,"article",F600:F606)</f>
        <v>#VALUE!</v>
      </c>
      <c r="G599" s="68" t="e">
        <f>SUMIF($B$600:$B$606,"article",G600:G606)</f>
        <v>#VALUE!</v>
      </c>
      <c r="H599" s="68">
        <f>SUMIF($B$600:$B$606,"article",H600:H606)</f>
        <v>696392247.56500006</v>
      </c>
      <c r="I599" s="68">
        <v>676301588.51999998</v>
      </c>
      <c r="J599" s="68">
        <f>SUMIF($B$600:$B$606,"article",J600:J606)</f>
        <v>618308191.91999996</v>
      </c>
      <c r="K599" s="68">
        <f>SUMIF($B$600:$B$606,"article",K600:K606)</f>
        <v>78084055.644999951</v>
      </c>
      <c r="L599" s="69">
        <f t="shared" si="331"/>
        <v>0.8878734564923314</v>
      </c>
      <c r="M599" s="68"/>
      <c r="N599" s="68"/>
      <c r="O599" s="9"/>
      <c r="Q599" s="23"/>
      <c r="AK599" s="70"/>
      <c r="AL599" s="70"/>
      <c r="AM599" s="70"/>
      <c r="AN599" s="70"/>
      <c r="AO599" s="11">
        <v>1312112</v>
      </c>
    </row>
    <row r="600" spans="1:42" s="62" customFormat="1" ht="27.75" customHeight="1" thickTop="1" thickBot="1" x14ac:dyDescent="0.3">
      <c r="A600" s="56" t="s">
        <v>22</v>
      </c>
      <c r="B600" s="56" t="s">
        <v>22</v>
      </c>
      <c r="C600" s="57">
        <f t="shared" ref="C600:C606" si="332">IF(A599="SECTION",D599,C599)</f>
        <v>1312112</v>
      </c>
      <c r="D600" s="58">
        <v>1</v>
      </c>
      <c r="E600" s="59" t="str">
        <f t="shared" ref="E600:E606" si="333">IF(D600=1, "DEPENSES DE PERSONNEL",  +IF(D600=2,"DEPENSES DE SERVICES ET CHARGES DIVERSES", +IF(D600=3,"ACHATS DE BIENS DE CONSOMMATION ET PETITS MATERIELS",+IF(D600=4,"IMMOBILISATION CORPORELLE",+IF(D600=5,"IMMOBILISATION INCORPORELLE",+IF(D600=7,"SUBVENTIONS,QUOTES-PARTS ET CONTRIB.,ALLOC, INDEMNISATIONS",+IF(D600=8,"AMORTISSEMENT DE LA DETTE",+IF(D600=9,"AUTRES DEPENSES PUBLIQUES",0))))))))</f>
        <v>DEPENSES DE PERSONNEL</v>
      </c>
      <c r="F600" s="60" t="e">
        <f>SUMIFS([49]mensuel_section_article1!$E$3:$E$962,[49]mensuel_section_article1!$B$3:$B$962,C600,[49]mensuel_section_article1!$C$3:$C$962,D600)</f>
        <v>#VALUE!</v>
      </c>
      <c r="G600" s="60" t="e">
        <f>SUMIFS([49]mensuel_section_article1!$G$3:$G$962,[49]mensuel_section_article1!$B$3:$B$962,C600,[49]mensuel_section_article1!$C$3:$C$962,D600)</f>
        <v>#VALUE!</v>
      </c>
      <c r="H600" s="60">
        <v>567446888.28999996</v>
      </c>
      <c r="I600" s="60">
        <v>532883268.30999994</v>
      </c>
      <c r="J600" s="60">
        <v>518366332.48000002</v>
      </c>
      <c r="K600" s="60">
        <f t="shared" ref="K600:K606" si="334">+H600-J600</f>
        <v>49080555.809999943</v>
      </c>
      <c r="L600" s="61">
        <f t="shared" si="331"/>
        <v>0.91350634425381361</v>
      </c>
      <c r="M600" s="60"/>
      <c r="N600" s="24"/>
      <c r="O600" s="9"/>
      <c r="Q600" s="63"/>
      <c r="AK600" s="64"/>
      <c r="AL600" s="64"/>
      <c r="AM600" s="64"/>
      <c r="AN600" s="64"/>
      <c r="AO600" s="11">
        <v>1312112</v>
      </c>
      <c r="AP600" s="65" t="str">
        <f t="shared" ref="AP600:AP606" si="335">CONCATENATE(AO600,D600)</f>
        <v>13121121</v>
      </c>
    </row>
    <row r="601" spans="1:42" s="62" customFormat="1" ht="27.75" customHeight="1" thickTop="1" thickBot="1" x14ac:dyDescent="0.3">
      <c r="A601" s="56" t="s">
        <v>22</v>
      </c>
      <c r="B601" s="56" t="s">
        <v>22</v>
      </c>
      <c r="C601" s="57">
        <f t="shared" si="332"/>
        <v>1312112</v>
      </c>
      <c r="D601" s="58">
        <v>2</v>
      </c>
      <c r="E601" s="59" t="str">
        <f t="shared" si="333"/>
        <v>DEPENSES DE SERVICES ET CHARGES DIVERSES</v>
      </c>
      <c r="F601" s="60" t="e">
        <f>SUMIFS([49]mensuel_section_article1!$E$3:$E$962,[49]mensuel_section_article1!$B$3:$B$962,C601,[49]mensuel_section_article1!$C$3:$C$962,D601)</f>
        <v>#VALUE!</v>
      </c>
      <c r="G601" s="60" t="e">
        <f>SUMIFS([49]mensuel_section_article1!$G$3:$G$962,[49]mensuel_section_article1!$B$3:$B$962,C601,[49]mensuel_section_article1!$C$3:$C$962,D601)</f>
        <v>#VALUE!</v>
      </c>
      <c r="H601" s="60">
        <v>38885515.978</v>
      </c>
      <c r="I601" s="60">
        <v>27307603.020000003</v>
      </c>
      <c r="J601" s="60">
        <v>16222443.470000001</v>
      </c>
      <c r="K601" s="60">
        <f t="shared" si="334"/>
        <v>22663072.508000001</v>
      </c>
      <c r="L601" s="61">
        <f t="shared" si="331"/>
        <v>0.41718472963501541</v>
      </c>
      <c r="M601" s="60"/>
      <c r="N601" s="24"/>
      <c r="O601" s="9"/>
      <c r="Q601" s="63"/>
      <c r="AK601" s="64"/>
      <c r="AL601" s="64"/>
      <c r="AM601" s="64"/>
      <c r="AN601" s="64"/>
      <c r="AO601" s="11">
        <v>1312112</v>
      </c>
      <c r="AP601" s="65" t="str">
        <f t="shared" si="335"/>
        <v>13121122</v>
      </c>
    </row>
    <row r="602" spans="1:42" s="62" customFormat="1" ht="27.75" customHeight="1" thickTop="1" thickBot="1" x14ac:dyDescent="0.3">
      <c r="A602" s="56" t="s">
        <v>22</v>
      </c>
      <c r="B602" s="56" t="s">
        <v>22</v>
      </c>
      <c r="C602" s="57">
        <f t="shared" si="332"/>
        <v>1312112</v>
      </c>
      <c r="D602" s="58">
        <v>3</v>
      </c>
      <c r="E602" s="59" t="str">
        <f t="shared" si="333"/>
        <v>ACHATS DE BIENS DE CONSOMMATION ET PETITS MATERIELS</v>
      </c>
      <c r="F602" s="60" t="e">
        <f>SUMIFS([49]mensuel_section_article1!$E$3:$E$962,[49]mensuel_section_article1!$B$3:$B$962,C602,[49]mensuel_section_article1!$C$3:$C$962,D602)</f>
        <v>#VALUE!</v>
      </c>
      <c r="G602" s="60" t="e">
        <f>SUMIFS([49]mensuel_section_article1!$G$3:$G$962,[49]mensuel_section_article1!$B$3:$B$962,C602,[49]mensuel_section_article1!$C$3:$C$962,D602)</f>
        <v>#VALUE!</v>
      </c>
      <c r="H602" s="60">
        <v>30449163.728</v>
      </c>
      <c r="I602" s="60">
        <v>84900037.690000013</v>
      </c>
      <c r="J602" s="60">
        <v>67357535.909999996</v>
      </c>
      <c r="K602" s="60">
        <f t="shared" si="334"/>
        <v>-36908372.181999996</v>
      </c>
      <c r="L602" s="61">
        <f t="shared" si="331"/>
        <v>2.2121308982965706</v>
      </c>
      <c r="M602" s="60"/>
      <c r="N602" s="24"/>
      <c r="O602" s="9"/>
      <c r="Q602" s="63"/>
      <c r="AK602" s="64"/>
      <c r="AL602" s="64"/>
      <c r="AM602" s="64"/>
      <c r="AN602" s="64"/>
      <c r="AO602" s="11">
        <v>1312112</v>
      </c>
      <c r="AP602" s="65" t="str">
        <f t="shared" si="335"/>
        <v>13121123</v>
      </c>
    </row>
    <row r="603" spans="1:42" s="62" customFormat="1" ht="27.75" customHeight="1" thickTop="1" thickBot="1" x14ac:dyDescent="0.3">
      <c r="A603" s="56" t="s">
        <v>22</v>
      </c>
      <c r="B603" s="56" t="s">
        <v>22</v>
      </c>
      <c r="C603" s="57">
        <f t="shared" si="332"/>
        <v>1312112</v>
      </c>
      <c r="D603" s="58">
        <v>4</v>
      </c>
      <c r="E603" s="59" t="str">
        <f t="shared" si="333"/>
        <v>IMMOBILISATION CORPORELLE</v>
      </c>
      <c r="F603" s="60" t="e">
        <f>SUMIFS([49]mensuel_section_article1!$E$3:$E$962,[49]mensuel_section_article1!$B$3:$B$962,C603,[49]mensuel_section_article1!$C$3:$C$962,D603)</f>
        <v>#VALUE!</v>
      </c>
      <c r="G603" s="60" t="e">
        <f>SUMIFS([49]mensuel_section_article1!$G$3:$G$962,[49]mensuel_section_article1!$B$3:$B$962,C603,[49]mensuel_section_article1!$C$3:$C$962,D603)</f>
        <v>#VALUE!</v>
      </c>
      <c r="H603" s="60">
        <v>14772823.936000003</v>
      </c>
      <c r="I603" s="60">
        <v>14772823.9</v>
      </c>
      <c r="J603" s="60">
        <v>13317171.060000001</v>
      </c>
      <c r="K603" s="60">
        <f t="shared" si="334"/>
        <v>1455652.876000002</v>
      </c>
      <c r="L603" s="61">
        <f t="shared" si="331"/>
        <v>0.90146414238020456</v>
      </c>
      <c r="M603" s="60"/>
      <c r="N603" s="24"/>
      <c r="O603" s="9"/>
      <c r="Q603" s="63"/>
      <c r="AK603" s="64"/>
      <c r="AL603" s="64"/>
      <c r="AM603" s="64"/>
      <c r="AN603" s="64"/>
      <c r="AO603" s="11">
        <v>1312112</v>
      </c>
      <c r="AP603" s="65" t="str">
        <f t="shared" si="335"/>
        <v>13121124</v>
      </c>
    </row>
    <row r="604" spans="1:42" s="62" customFormat="1" ht="27.75" hidden="1" customHeight="1" thickTop="1" thickBot="1" x14ac:dyDescent="0.3">
      <c r="A604" s="56" t="s">
        <v>22</v>
      </c>
      <c r="B604" s="56" t="s">
        <v>22</v>
      </c>
      <c r="C604" s="57">
        <f t="shared" si="332"/>
        <v>1312112</v>
      </c>
      <c r="D604" s="58">
        <v>5</v>
      </c>
      <c r="E604" s="59" t="str">
        <f t="shared" si="333"/>
        <v>IMMOBILISATION INCORPORELLE</v>
      </c>
      <c r="F604" s="60" t="e">
        <f>SUMIFS([49]mensuel_section_article1!$E$3:$E$962,[49]mensuel_section_article1!$B$3:$B$962,C604,[49]mensuel_section_article1!$C$3:$C$962,D604)</f>
        <v>#VALUE!</v>
      </c>
      <c r="G604" s="60" t="e">
        <f>SUMIFS([49]mensuel_section_article1!$G$3:$G$962,[49]mensuel_section_article1!$B$3:$B$962,C604,[49]mensuel_section_article1!$C$3:$C$962,D604)</f>
        <v>#VALUE!</v>
      </c>
      <c r="H604" s="60">
        <v>0</v>
      </c>
      <c r="I604" s="60">
        <v>0</v>
      </c>
      <c r="J604" s="60">
        <v>0</v>
      </c>
      <c r="K604" s="60">
        <f t="shared" si="334"/>
        <v>0</v>
      </c>
      <c r="L604" s="61" t="e">
        <f>IF(F604&lt;&gt;0,K604/F604,0)</f>
        <v>#VALUE!</v>
      </c>
      <c r="M604" s="60" t="e">
        <f>+SUMIFS([51]section_article!$H$10:$H$936,[51]section_article!$C$10:$C$936,C604,[51]section_article!$D$10:$D$936,D604)</f>
        <v>#VALUE!</v>
      </c>
      <c r="N604" s="24" t="e">
        <f t="shared" ref="N600:N606" si="336">+J604-M604</f>
        <v>#VALUE!</v>
      </c>
      <c r="O604" s="9"/>
      <c r="Q604" s="63"/>
      <c r="AK604" s="64"/>
      <c r="AL604" s="64"/>
      <c r="AM604" s="64"/>
      <c r="AN604" s="64"/>
      <c r="AO604" s="11">
        <v>1312112</v>
      </c>
      <c r="AP604" s="65" t="str">
        <f t="shared" si="335"/>
        <v>13121125</v>
      </c>
    </row>
    <row r="605" spans="1:42" s="62" customFormat="1" ht="27.75" hidden="1" customHeight="1" thickTop="1" thickBot="1" x14ac:dyDescent="0.3">
      <c r="A605" s="56" t="s">
        <v>22</v>
      </c>
      <c r="B605" s="56" t="s">
        <v>22</v>
      </c>
      <c r="C605" s="57">
        <f t="shared" si="332"/>
        <v>1312112</v>
      </c>
      <c r="D605" s="58">
        <v>7</v>
      </c>
      <c r="E605" s="59" t="str">
        <f t="shared" si="333"/>
        <v>SUBVENTIONS,QUOTES-PARTS ET CONTRIB.,ALLOC, INDEMNISATIONS</v>
      </c>
      <c r="F605" s="60" t="e">
        <f>SUMIFS([49]mensuel_section_article1!$E$3:$E$962,[49]mensuel_section_article1!$B$3:$B$962,C605,[49]mensuel_section_article1!$C$3:$C$962,D605)</f>
        <v>#VALUE!</v>
      </c>
      <c r="G605" s="60" t="e">
        <f>SUMIFS([49]mensuel_section_article1!$G$3:$G$962,[49]mensuel_section_article1!$B$3:$B$962,C605,[49]mensuel_section_article1!$C$3:$C$962,D605)</f>
        <v>#VALUE!</v>
      </c>
      <c r="H605" s="60">
        <v>0</v>
      </c>
      <c r="I605" s="60">
        <v>0</v>
      </c>
      <c r="J605" s="60">
        <v>0</v>
      </c>
      <c r="K605" s="60">
        <f t="shared" si="334"/>
        <v>0</v>
      </c>
      <c r="L605" s="61" t="e">
        <f>IF(F605&lt;&gt;0,K605/F605,0)</f>
        <v>#VALUE!</v>
      </c>
      <c r="M605" s="60" t="e">
        <f>+SUMIFS([51]section_article!$H$10:$H$936,[51]section_article!$C$10:$C$936,C605,[51]section_article!$D$10:$D$936,D605)</f>
        <v>#VALUE!</v>
      </c>
      <c r="N605" s="24" t="e">
        <f t="shared" si="336"/>
        <v>#VALUE!</v>
      </c>
      <c r="O605" s="9"/>
      <c r="Q605" s="63"/>
      <c r="AK605" s="64"/>
      <c r="AL605" s="64"/>
      <c r="AM605" s="64"/>
      <c r="AN605" s="64"/>
      <c r="AO605" s="11">
        <v>1312112</v>
      </c>
      <c r="AP605" s="65" t="str">
        <f t="shared" si="335"/>
        <v>13121127</v>
      </c>
    </row>
    <row r="606" spans="1:42" s="62" customFormat="1" ht="27.75" customHeight="1" thickTop="1" thickBot="1" x14ac:dyDescent="0.3">
      <c r="A606" s="56" t="s">
        <v>22</v>
      </c>
      <c r="B606" s="56" t="s">
        <v>22</v>
      </c>
      <c r="C606" s="57">
        <f t="shared" si="332"/>
        <v>1312112</v>
      </c>
      <c r="D606" s="58">
        <v>9</v>
      </c>
      <c r="E606" s="59" t="str">
        <f t="shared" si="333"/>
        <v>AUTRES DEPENSES PUBLIQUES</v>
      </c>
      <c r="F606" s="60" t="e">
        <f>SUMIFS([49]mensuel_section_article1!$E$3:$E$962,[49]mensuel_section_article1!$B$3:$B$962,C606,[49]mensuel_section_article1!$C$3:$C$962,D606)</f>
        <v>#VALUE!</v>
      </c>
      <c r="G606" s="60" t="e">
        <f>SUMIFS([49]mensuel_section_article1!$G$3:$G$962,[49]mensuel_section_article1!$B$3:$B$962,C606,[49]mensuel_section_article1!$C$3:$C$962,D606)</f>
        <v>#VALUE!</v>
      </c>
      <c r="H606" s="60">
        <v>44837855.633000009</v>
      </c>
      <c r="I606" s="60">
        <v>16437855.6</v>
      </c>
      <c r="J606" s="60">
        <v>3044709</v>
      </c>
      <c r="K606" s="60">
        <f t="shared" si="334"/>
        <v>41793146.633000009</v>
      </c>
      <c r="L606" s="61">
        <f>+J606/H606</f>
        <v>6.7904875400846304E-2</v>
      </c>
      <c r="M606" s="60"/>
      <c r="N606" s="24"/>
      <c r="O606" s="9"/>
      <c r="Q606" s="63"/>
      <c r="AK606" s="64"/>
      <c r="AL606" s="64"/>
      <c r="AM606" s="64"/>
      <c r="AN606" s="64"/>
      <c r="AO606" s="11">
        <v>1312112</v>
      </c>
      <c r="AP606" s="65" t="str">
        <f t="shared" si="335"/>
        <v>13121129</v>
      </c>
    </row>
    <row r="607" spans="1:42" s="1" customFormat="1" ht="27.75" customHeight="1" thickTop="1" thickBot="1" x14ac:dyDescent="0.3">
      <c r="A607" s="50" t="s">
        <v>20</v>
      </c>
      <c r="B607" s="50" t="s">
        <v>20</v>
      </c>
      <c r="C607" s="50" t="s">
        <v>20</v>
      </c>
      <c r="D607" s="51">
        <v>1312113</v>
      </c>
      <c r="E607" s="67" t="s">
        <v>101</v>
      </c>
      <c r="F607" s="68" t="e">
        <f>SUMIF($B$608:$B$614,"article",F608:F614)</f>
        <v>#VALUE!</v>
      </c>
      <c r="G607" s="68" t="e">
        <f>SUMIF($B$608:$B$614,"article",G608:G614)</f>
        <v>#VALUE!</v>
      </c>
      <c r="H607" s="68">
        <f>SUMIF($B$608:$B$614,"article",H608:H614)</f>
        <v>58664599.035999998</v>
      </c>
      <c r="I607" s="68">
        <v>58664598.999999993</v>
      </c>
      <c r="J607" s="68">
        <f>SUMIF($B$608:$B$614,"article",J608:J614)</f>
        <v>54938914.680000007</v>
      </c>
      <c r="K607" s="68">
        <f>SUMIF($B$608:$B$614,"article",K608:K614)</f>
        <v>3725684.3559999913</v>
      </c>
      <c r="L607" s="69">
        <f>+J607/H607</f>
        <v>0.93649177839409259</v>
      </c>
      <c r="M607" s="68"/>
      <c r="N607" s="68"/>
      <c r="O607" s="9"/>
      <c r="Q607" s="23"/>
      <c r="AK607" s="70"/>
      <c r="AL607" s="70"/>
      <c r="AM607" s="70"/>
      <c r="AN607" s="70"/>
      <c r="AO607" s="11">
        <v>1312113</v>
      </c>
    </row>
    <row r="608" spans="1:42" s="62" customFormat="1" ht="27.75" customHeight="1" thickTop="1" thickBot="1" x14ac:dyDescent="0.3">
      <c r="A608" s="56" t="s">
        <v>22</v>
      </c>
      <c r="B608" s="56" t="s">
        <v>22</v>
      </c>
      <c r="C608" s="57">
        <f t="shared" ref="C608:C614" si="337">IF(A607="SECTION",D607,C607)</f>
        <v>1312113</v>
      </c>
      <c r="D608" s="58">
        <v>1</v>
      </c>
      <c r="E608" s="59" t="str">
        <f t="shared" ref="E608:E614" si="338">IF(D608=1, "DEPENSES DE PERSONNEL",  +IF(D608=2,"DEPENSES DE SERVICES ET CHARGES DIVERSES", +IF(D608=3,"ACHATS DE BIENS DE CONSOMMATION ET PETITS MATERIELS",+IF(D608=4,"IMMOBILISATION CORPORELLE",+IF(D608=5,"IMMOBILISATION INCORPORELLE",+IF(D608=7,"SUBVENTIONS,QUOTES-PARTS ET CONTRIB.,ALLOC, INDEMNISATIONS",+IF(D608=8,"AMORTISSEMENT DE LA DETTE",+IF(D608=9,"AUTRES DEPENSES PUBLIQUES",0))))))))</f>
        <v>DEPENSES DE PERSONNEL</v>
      </c>
      <c r="F608" s="60" t="e">
        <f>SUMIFS([49]mensuel_section_article1!$E$3:$E$962,[49]mensuel_section_article1!$B$3:$B$962,C608,[49]mensuel_section_article1!$C$3:$C$962,D608)</f>
        <v>#VALUE!</v>
      </c>
      <c r="G608" s="60" t="e">
        <f>SUMIFS([49]mensuel_section_article1!$G$3:$G$962,[49]mensuel_section_article1!$B$3:$B$962,C608,[49]mensuel_section_article1!$C$3:$C$962,D608)</f>
        <v>#VALUE!</v>
      </c>
      <c r="H608" s="60">
        <v>44948160.039999999</v>
      </c>
      <c r="I608" s="60">
        <v>44948159.999999993</v>
      </c>
      <c r="J608" s="60">
        <v>43015118.210000008</v>
      </c>
      <c r="K608" s="60">
        <f t="shared" ref="K608:K614" si="339">+H608-J608</f>
        <v>1933041.8299999908</v>
      </c>
      <c r="L608" s="61">
        <f>+J608/H608</f>
        <v>0.95699397198284086</v>
      </c>
      <c r="M608" s="60"/>
      <c r="N608" s="24"/>
      <c r="O608" s="9"/>
      <c r="Q608" s="63"/>
      <c r="AK608" s="64"/>
      <c r="AL608" s="64"/>
      <c r="AM608" s="64"/>
      <c r="AN608" s="64"/>
      <c r="AO608" s="11">
        <v>1312113</v>
      </c>
      <c r="AP608" s="65" t="str">
        <f t="shared" ref="AP608:AP614" si="340">CONCATENATE(AO608,D608)</f>
        <v>13121131</v>
      </c>
    </row>
    <row r="609" spans="1:42" s="62" customFormat="1" ht="27.75" customHeight="1" thickTop="1" thickBot="1" x14ac:dyDescent="0.3">
      <c r="A609" s="56" t="s">
        <v>22</v>
      </c>
      <c r="B609" s="56" t="s">
        <v>22</v>
      </c>
      <c r="C609" s="57">
        <f t="shared" si="337"/>
        <v>1312113</v>
      </c>
      <c r="D609" s="58">
        <v>2</v>
      </c>
      <c r="E609" s="59" t="str">
        <f t="shared" si="338"/>
        <v>DEPENSES DE SERVICES ET CHARGES DIVERSES</v>
      </c>
      <c r="F609" s="60" t="e">
        <f>SUMIFS([49]mensuel_section_article1!$E$3:$E$962,[49]mensuel_section_article1!$B$3:$B$962,C609,[49]mensuel_section_article1!$C$3:$C$962,D609)</f>
        <v>#VALUE!</v>
      </c>
      <c r="G609" s="60" t="e">
        <f>SUMIFS([49]mensuel_section_article1!$G$3:$G$962,[49]mensuel_section_article1!$B$3:$B$962,C609,[49]mensuel_section_article1!$C$3:$C$962,D609)</f>
        <v>#VALUE!</v>
      </c>
      <c r="H609" s="60">
        <v>13716438.995999999</v>
      </c>
      <c r="I609" s="60">
        <v>13716439</v>
      </c>
      <c r="J609" s="60">
        <v>11923796.469999999</v>
      </c>
      <c r="K609" s="60">
        <f t="shared" si="339"/>
        <v>1792642.5260000005</v>
      </c>
      <c r="L609" s="61">
        <f>+J609/H609</f>
        <v>0.86930700260302451</v>
      </c>
      <c r="M609" s="60"/>
      <c r="N609" s="24"/>
      <c r="O609" s="9"/>
      <c r="Q609" s="63"/>
      <c r="AK609" s="64"/>
      <c r="AL609" s="64"/>
      <c r="AM609" s="64"/>
      <c r="AN609" s="64"/>
      <c r="AO609" s="11">
        <v>1312113</v>
      </c>
      <c r="AP609" s="65" t="str">
        <f t="shared" si="340"/>
        <v>13121132</v>
      </c>
    </row>
    <row r="610" spans="1:42" s="62" customFormat="1" ht="27.75" hidden="1" customHeight="1" thickTop="1" thickBot="1" x14ac:dyDescent="0.3">
      <c r="A610" s="56" t="s">
        <v>22</v>
      </c>
      <c r="B610" s="56" t="s">
        <v>22</v>
      </c>
      <c r="C610" s="57">
        <f t="shared" si="337"/>
        <v>1312113</v>
      </c>
      <c r="D610" s="58">
        <v>3</v>
      </c>
      <c r="E610" s="59" t="str">
        <f t="shared" si="338"/>
        <v>ACHATS DE BIENS DE CONSOMMATION ET PETITS MATERIELS</v>
      </c>
      <c r="F610" s="60" t="e">
        <f>SUMIFS([49]mensuel_section_article1!$E$3:$E$962,[49]mensuel_section_article1!$B$3:$B$962,C610,[49]mensuel_section_article1!$C$3:$C$962,D610)</f>
        <v>#VALUE!</v>
      </c>
      <c r="G610" s="60" t="e">
        <f>SUMIFS([49]mensuel_section_article1!$G$3:$G$962,[49]mensuel_section_article1!$B$3:$B$962,C610,[49]mensuel_section_article1!$C$3:$C$962,D610)</f>
        <v>#VALUE!</v>
      </c>
      <c r="H610" s="60">
        <v>0</v>
      </c>
      <c r="I610" s="60">
        <v>0</v>
      </c>
      <c r="J610" s="60">
        <v>0</v>
      </c>
      <c r="K610" s="60">
        <f t="shared" si="339"/>
        <v>0</v>
      </c>
      <c r="L610" s="61" t="e">
        <f>IF(F610&lt;&gt;0,K610/F610,0)</f>
        <v>#VALUE!</v>
      </c>
      <c r="M610" s="60" t="e">
        <f>+SUMIFS([51]section_article!$H$10:$H$936,[51]section_article!$C$10:$C$936,C610,[51]section_article!$D$10:$D$936,D610)</f>
        <v>#VALUE!</v>
      </c>
      <c r="N610" s="24" t="e">
        <f t="shared" ref="N608:N614" si="341">+J610-M610</f>
        <v>#VALUE!</v>
      </c>
      <c r="O610" s="9"/>
      <c r="Q610" s="63"/>
      <c r="AK610" s="64"/>
      <c r="AL610" s="64"/>
      <c r="AM610" s="64"/>
      <c r="AN610" s="64"/>
      <c r="AO610" s="11">
        <v>1312113</v>
      </c>
      <c r="AP610" s="65" t="str">
        <f t="shared" si="340"/>
        <v>13121133</v>
      </c>
    </row>
    <row r="611" spans="1:42" s="62" customFormat="1" ht="27.75" hidden="1" customHeight="1" thickTop="1" thickBot="1" x14ac:dyDescent="0.3">
      <c r="A611" s="56" t="s">
        <v>22</v>
      </c>
      <c r="B611" s="56" t="s">
        <v>22</v>
      </c>
      <c r="C611" s="57">
        <f t="shared" si="337"/>
        <v>1312113</v>
      </c>
      <c r="D611" s="58">
        <v>4</v>
      </c>
      <c r="E611" s="59" t="str">
        <f t="shared" si="338"/>
        <v>IMMOBILISATION CORPORELLE</v>
      </c>
      <c r="F611" s="60" t="e">
        <f>SUMIFS([49]mensuel_section_article1!$E$3:$E$962,[49]mensuel_section_article1!$B$3:$B$962,C611,[49]mensuel_section_article1!$C$3:$C$962,D611)</f>
        <v>#VALUE!</v>
      </c>
      <c r="G611" s="60" t="e">
        <f>SUMIFS([49]mensuel_section_article1!$G$3:$G$962,[49]mensuel_section_article1!$B$3:$B$962,C611,[49]mensuel_section_article1!$C$3:$C$962,D611)</f>
        <v>#VALUE!</v>
      </c>
      <c r="H611" s="60">
        <v>0</v>
      </c>
      <c r="I611" s="60">
        <v>0</v>
      </c>
      <c r="J611" s="60">
        <v>0</v>
      </c>
      <c r="K611" s="60">
        <f t="shared" si="339"/>
        <v>0</v>
      </c>
      <c r="L611" s="61" t="e">
        <f>IF(F611&lt;&gt;0,K611/F611,0)</f>
        <v>#VALUE!</v>
      </c>
      <c r="M611" s="60" t="e">
        <f>+SUMIFS([51]section_article!$H$10:$H$936,[51]section_article!$C$10:$C$936,C611,[51]section_article!$D$10:$D$936,D611)</f>
        <v>#VALUE!</v>
      </c>
      <c r="N611" s="24" t="e">
        <f t="shared" si="341"/>
        <v>#VALUE!</v>
      </c>
      <c r="O611" s="9"/>
      <c r="Q611" s="63"/>
      <c r="AK611" s="64"/>
      <c r="AL611" s="64"/>
      <c r="AM611" s="64"/>
      <c r="AN611" s="64"/>
      <c r="AO611" s="11">
        <v>1312113</v>
      </c>
      <c r="AP611" s="65" t="str">
        <f t="shared" si="340"/>
        <v>13121134</v>
      </c>
    </row>
    <row r="612" spans="1:42" s="62" customFormat="1" ht="27.75" hidden="1" customHeight="1" thickTop="1" thickBot="1" x14ac:dyDescent="0.3">
      <c r="A612" s="56" t="s">
        <v>22</v>
      </c>
      <c r="B612" s="56" t="s">
        <v>22</v>
      </c>
      <c r="C612" s="57">
        <f t="shared" si="337"/>
        <v>1312113</v>
      </c>
      <c r="D612" s="58">
        <v>5</v>
      </c>
      <c r="E612" s="59" t="str">
        <f t="shared" si="338"/>
        <v>IMMOBILISATION INCORPORELLE</v>
      </c>
      <c r="F612" s="60" t="e">
        <f>SUMIFS([49]mensuel_section_article1!$E$3:$E$962,[49]mensuel_section_article1!$B$3:$B$962,C612,[49]mensuel_section_article1!$C$3:$C$962,D612)</f>
        <v>#VALUE!</v>
      </c>
      <c r="G612" s="60" t="e">
        <f>SUMIFS([49]mensuel_section_article1!$G$3:$G$962,[49]mensuel_section_article1!$B$3:$B$962,C612,[49]mensuel_section_article1!$C$3:$C$962,D612)</f>
        <v>#VALUE!</v>
      </c>
      <c r="H612" s="60">
        <v>0</v>
      </c>
      <c r="I612" s="60">
        <v>0</v>
      </c>
      <c r="J612" s="60">
        <v>0</v>
      </c>
      <c r="K612" s="60">
        <f t="shared" si="339"/>
        <v>0</v>
      </c>
      <c r="L612" s="61" t="e">
        <f>IF(F612&lt;&gt;0,K612/F612,0)</f>
        <v>#VALUE!</v>
      </c>
      <c r="M612" s="60" t="e">
        <f>+SUMIFS([51]section_article!$H$10:$H$936,[51]section_article!$C$10:$C$936,C612,[51]section_article!$D$10:$D$936,D612)</f>
        <v>#VALUE!</v>
      </c>
      <c r="N612" s="24" t="e">
        <f t="shared" si="341"/>
        <v>#VALUE!</v>
      </c>
      <c r="O612" s="9"/>
      <c r="Q612" s="63"/>
      <c r="AK612" s="64"/>
      <c r="AL612" s="64"/>
      <c r="AM612" s="64"/>
      <c r="AN612" s="64"/>
      <c r="AO612" s="11">
        <v>1312113</v>
      </c>
      <c r="AP612" s="65" t="str">
        <f t="shared" si="340"/>
        <v>13121135</v>
      </c>
    </row>
    <row r="613" spans="1:42" s="62" customFormat="1" ht="27.75" hidden="1" customHeight="1" thickTop="1" thickBot="1" x14ac:dyDescent="0.3">
      <c r="A613" s="56" t="s">
        <v>22</v>
      </c>
      <c r="B613" s="56" t="s">
        <v>22</v>
      </c>
      <c r="C613" s="57">
        <f t="shared" si="337"/>
        <v>1312113</v>
      </c>
      <c r="D613" s="58">
        <v>7</v>
      </c>
      <c r="E613" s="59" t="str">
        <f t="shared" si="338"/>
        <v>SUBVENTIONS,QUOTES-PARTS ET CONTRIB.,ALLOC, INDEMNISATIONS</v>
      </c>
      <c r="F613" s="60" t="e">
        <f>SUMIFS([49]mensuel_section_article1!$E$3:$E$962,[49]mensuel_section_article1!$B$3:$B$962,C613,[49]mensuel_section_article1!$C$3:$C$962,D613)</f>
        <v>#VALUE!</v>
      </c>
      <c r="G613" s="60" t="e">
        <f>SUMIFS([49]mensuel_section_article1!$G$3:$G$962,[49]mensuel_section_article1!$B$3:$B$962,C613,[49]mensuel_section_article1!$C$3:$C$962,D613)</f>
        <v>#VALUE!</v>
      </c>
      <c r="H613" s="60">
        <v>0</v>
      </c>
      <c r="I613" s="60">
        <v>0</v>
      </c>
      <c r="J613" s="60">
        <v>0</v>
      </c>
      <c r="K613" s="60">
        <f t="shared" si="339"/>
        <v>0</v>
      </c>
      <c r="L613" s="61" t="e">
        <f>IF(F613&lt;&gt;0,K613/F613,0)</f>
        <v>#VALUE!</v>
      </c>
      <c r="M613" s="60" t="e">
        <f>+SUMIFS([51]section_article!$H$10:$H$936,[51]section_article!$C$10:$C$936,C613,[51]section_article!$D$10:$D$936,D613)</f>
        <v>#VALUE!</v>
      </c>
      <c r="N613" s="24" t="e">
        <f t="shared" si="341"/>
        <v>#VALUE!</v>
      </c>
      <c r="O613" s="9"/>
      <c r="Q613" s="63"/>
      <c r="AK613" s="64"/>
      <c r="AL613" s="64"/>
      <c r="AM613" s="64"/>
      <c r="AN613" s="64"/>
      <c r="AO613" s="11">
        <v>1312113</v>
      </c>
      <c r="AP613" s="65" t="str">
        <f t="shared" si="340"/>
        <v>13121137</v>
      </c>
    </row>
    <row r="614" spans="1:42" s="62" customFormat="1" ht="27.75" hidden="1" customHeight="1" thickTop="1" thickBot="1" x14ac:dyDescent="0.3">
      <c r="A614" s="56" t="s">
        <v>22</v>
      </c>
      <c r="B614" s="56" t="s">
        <v>22</v>
      </c>
      <c r="C614" s="57">
        <f t="shared" si="337"/>
        <v>1312113</v>
      </c>
      <c r="D614" s="58">
        <v>9</v>
      </c>
      <c r="E614" s="59" t="str">
        <f t="shared" si="338"/>
        <v>AUTRES DEPENSES PUBLIQUES</v>
      </c>
      <c r="F614" s="60" t="e">
        <f>SUMIFS([49]mensuel_section_article1!$E$3:$E$962,[49]mensuel_section_article1!$B$3:$B$962,C614,[49]mensuel_section_article1!$C$3:$C$962,D614)</f>
        <v>#VALUE!</v>
      </c>
      <c r="G614" s="60" t="e">
        <f>SUMIFS([49]mensuel_section_article1!$G$3:$G$962,[49]mensuel_section_article1!$B$3:$B$962,C614,[49]mensuel_section_article1!$C$3:$C$962,D614)</f>
        <v>#VALUE!</v>
      </c>
      <c r="H614" s="60">
        <v>0</v>
      </c>
      <c r="I614" s="60">
        <v>0</v>
      </c>
      <c r="J614" s="60">
        <v>0</v>
      </c>
      <c r="K614" s="60">
        <f t="shared" si="339"/>
        <v>0</v>
      </c>
      <c r="L614" s="61" t="e">
        <f>IF(F614&lt;&gt;0,K614/F614,0)</f>
        <v>#VALUE!</v>
      </c>
      <c r="M614" s="60" t="e">
        <f>+SUMIFS([51]section_article!$H$10:$H$936,[51]section_article!$C$10:$C$936,C614,[51]section_article!$D$10:$D$936,D614)</f>
        <v>#VALUE!</v>
      </c>
      <c r="N614" s="24" t="e">
        <f t="shared" si="341"/>
        <v>#VALUE!</v>
      </c>
      <c r="O614" s="64"/>
      <c r="P614" s="64"/>
      <c r="Q614" s="64"/>
      <c r="R614" s="64" t="e">
        <f>SUM(#REF!)</f>
        <v>#REF!</v>
      </c>
      <c r="S614" s="64" t="e">
        <f>SUM(#REF!)</f>
        <v>#REF!</v>
      </c>
      <c r="T614" s="64" t="e">
        <f>SUM(#REF!)</f>
        <v>#REF!</v>
      </c>
      <c r="U614" s="64" t="e">
        <f>SUM(#REF!)</f>
        <v>#REF!</v>
      </c>
      <c r="V614" s="64" t="e">
        <f>SUM(#REF!)</f>
        <v>#REF!</v>
      </c>
      <c r="W614" s="64" t="e">
        <f>SUM(#REF!)</f>
        <v>#REF!</v>
      </c>
      <c r="X614" s="64" t="e">
        <f>SUM(#REF!)</f>
        <v>#REF!</v>
      </c>
      <c r="Y614" s="64" t="e">
        <f>SUM(#REF!)</f>
        <v>#REF!</v>
      </c>
      <c r="Z614" s="64" t="e">
        <f>SUM(#REF!)</f>
        <v>#REF!</v>
      </c>
      <c r="AA614" s="64" t="e">
        <f>SUM(#REF!)</f>
        <v>#REF!</v>
      </c>
      <c r="AB614" s="64" t="e">
        <f>SUM(#REF!)</f>
        <v>#REF!</v>
      </c>
      <c r="AC614" s="64" t="e">
        <f>SUM(#REF!)</f>
        <v>#REF!</v>
      </c>
      <c r="AD614" s="64" t="e">
        <f>SUM(#REF!)</f>
        <v>#REF!</v>
      </c>
      <c r="AE614" s="64" t="e">
        <f>SUM(#REF!)</f>
        <v>#REF!</v>
      </c>
      <c r="AF614" s="64" t="e">
        <f>SUM(#REF!)</f>
        <v>#REF!</v>
      </c>
      <c r="AG614" s="64" t="e">
        <f>SUM(#REF!)</f>
        <v>#REF!</v>
      </c>
      <c r="AH614" s="64" t="e">
        <f>SUM(#REF!)</f>
        <v>#REF!</v>
      </c>
      <c r="AI614" s="64" t="e">
        <f>SUM(#REF!)</f>
        <v>#REF!</v>
      </c>
      <c r="AJ614" s="64" t="e">
        <f>SUM(#REF!)</f>
        <v>#REF!</v>
      </c>
      <c r="AK614" s="64"/>
      <c r="AL614" s="64"/>
      <c r="AM614" s="64"/>
      <c r="AN614" s="64" t="e">
        <f>SUM(#REF!)</f>
        <v>#REF!</v>
      </c>
      <c r="AO614" s="11">
        <v>1312113</v>
      </c>
      <c r="AP614" s="65" t="str">
        <f t="shared" si="340"/>
        <v>13121139</v>
      </c>
    </row>
    <row r="615" spans="1:42" s="1" customFormat="1" ht="27.75" customHeight="1" thickTop="1" thickBot="1" x14ac:dyDescent="0.3">
      <c r="A615" s="50" t="s">
        <v>20</v>
      </c>
      <c r="B615" s="50" t="s">
        <v>20</v>
      </c>
      <c r="C615" s="50" t="s">
        <v>20</v>
      </c>
      <c r="D615" s="51">
        <v>1312114</v>
      </c>
      <c r="E615" s="67" t="s">
        <v>102</v>
      </c>
      <c r="F615" s="68" t="e">
        <f>SUMIF($B$616:$B$622,"article",F616:F622)</f>
        <v>#VALUE!</v>
      </c>
      <c r="G615" s="68" t="e">
        <f>SUMIF($B$616:$B$622,"article",G616:G622)</f>
        <v>#VALUE!</v>
      </c>
      <c r="H615" s="68">
        <f>SUMIF($B$616:$B$622,"article",H616:H622)</f>
        <v>80668811.420000002</v>
      </c>
      <c r="I615" s="68">
        <v>80672811.400000006</v>
      </c>
      <c r="J615" s="68">
        <f>SUMIF($B$616:$B$622,"article",J616:J622)</f>
        <v>75844413.150000006</v>
      </c>
      <c r="K615" s="68">
        <f>SUMIF($B$616:$B$622,"article",K616:K622)</f>
        <v>4824398.2699999921</v>
      </c>
      <c r="L615" s="69">
        <f>+J615/H615</f>
        <v>0.94019499996247746</v>
      </c>
      <c r="M615" s="68"/>
      <c r="N615" s="68"/>
      <c r="O615" s="9"/>
      <c r="Q615" s="23"/>
      <c r="AK615" s="70"/>
      <c r="AL615" s="70"/>
      <c r="AM615" s="70"/>
      <c r="AN615" s="70"/>
      <c r="AO615" s="11">
        <v>1312114</v>
      </c>
    </row>
    <row r="616" spans="1:42" s="62" customFormat="1" ht="27.75" customHeight="1" thickTop="1" thickBot="1" x14ac:dyDescent="0.3">
      <c r="A616" s="56" t="s">
        <v>22</v>
      </c>
      <c r="B616" s="56" t="s">
        <v>22</v>
      </c>
      <c r="C616" s="57">
        <f t="shared" ref="C616:C622" si="342">IF(A615="SECTION",D615,C615)</f>
        <v>1312114</v>
      </c>
      <c r="D616" s="58">
        <v>1</v>
      </c>
      <c r="E616" s="59" t="str">
        <f t="shared" ref="E616:E622" si="343">IF(D616=1, "DEPENSES DE PERSONNEL",  +IF(D616=2,"DEPENSES DE SERVICES ET CHARGES DIVERSES", +IF(D616=3,"ACHATS DE BIENS DE CONSOMMATION ET PETITS MATERIELS",+IF(D616=4,"IMMOBILISATION CORPORELLE",+IF(D616=5,"IMMOBILISATION INCORPORELLE",+IF(D616=7,"SUBVENTIONS,QUOTES-PARTS ET CONTRIB.,ALLOC, INDEMNISATIONS",+IF(D616=8,"AMORTISSEMENT DE LA DETTE",+IF(D616=9,"AUTRES DEPENSES PUBLIQUES",0))))))))</f>
        <v>DEPENSES DE PERSONNEL</v>
      </c>
      <c r="F616" s="60" t="e">
        <f>SUMIFS([49]mensuel_section_article1!$E$3:$E$962,[49]mensuel_section_article1!$B$3:$B$962,C616,[49]mensuel_section_article1!$C$3:$C$962,D616)</f>
        <v>#VALUE!</v>
      </c>
      <c r="G616" s="60" t="e">
        <f>SUMIFS([49]mensuel_section_article1!$G$3:$G$962,[49]mensuel_section_article1!$B$3:$B$962,C616,[49]mensuel_section_article1!$C$3:$C$962,D616)</f>
        <v>#VALUE!</v>
      </c>
      <c r="H616" s="60">
        <v>53177723.939999998</v>
      </c>
      <c r="I616" s="60">
        <v>53181723.899999999</v>
      </c>
      <c r="J616" s="60">
        <v>48475695.090000004</v>
      </c>
      <c r="K616" s="60">
        <f t="shared" ref="K616:K622" si="344">+H616-J616</f>
        <v>4702028.849999994</v>
      </c>
      <c r="L616" s="61">
        <f>+J616/H616</f>
        <v>0.91157897514934527</v>
      </c>
      <c r="M616" s="60"/>
      <c r="N616" s="24"/>
      <c r="O616" s="9"/>
      <c r="Q616" s="63"/>
      <c r="AK616" s="64"/>
      <c r="AL616" s="64"/>
      <c r="AM616" s="64"/>
      <c r="AN616" s="64"/>
      <c r="AO616" s="11">
        <v>1312114</v>
      </c>
      <c r="AP616" s="65" t="str">
        <f t="shared" ref="AP616:AP622" si="345">CONCATENATE(AO616,D616)</f>
        <v>13121141</v>
      </c>
    </row>
    <row r="617" spans="1:42" s="62" customFormat="1" ht="27.75" customHeight="1" thickTop="1" thickBot="1" x14ac:dyDescent="0.3">
      <c r="A617" s="56" t="s">
        <v>22</v>
      </c>
      <c r="B617" s="56" t="s">
        <v>22</v>
      </c>
      <c r="C617" s="57">
        <f t="shared" si="342"/>
        <v>1312114</v>
      </c>
      <c r="D617" s="58">
        <v>2</v>
      </c>
      <c r="E617" s="59" t="str">
        <f t="shared" si="343"/>
        <v>DEPENSES DE SERVICES ET CHARGES DIVERSES</v>
      </c>
      <c r="F617" s="60" t="e">
        <f>SUMIFS([49]mensuel_section_article1!$E$3:$E$962,[49]mensuel_section_article1!$B$3:$B$962,C617,[49]mensuel_section_article1!$C$3:$C$962,D617)</f>
        <v>#VALUE!</v>
      </c>
      <c r="G617" s="60" t="e">
        <f>SUMIFS([49]mensuel_section_article1!$G$3:$G$962,[49]mensuel_section_article1!$B$3:$B$962,C617,[49]mensuel_section_article1!$C$3:$C$962,D617)</f>
        <v>#VALUE!</v>
      </c>
      <c r="H617" s="60">
        <v>27491087.48</v>
      </c>
      <c r="I617" s="60">
        <v>27491087.5</v>
      </c>
      <c r="J617" s="60">
        <v>27368718.060000002</v>
      </c>
      <c r="K617" s="60">
        <f t="shared" si="344"/>
        <v>122369.41999999806</v>
      </c>
      <c r="L617" s="61">
        <f>+J617/H617</f>
        <v>0.99554876029953265</v>
      </c>
      <c r="M617" s="60"/>
      <c r="N617" s="24"/>
      <c r="O617" s="9"/>
      <c r="Q617" s="63"/>
      <c r="AK617" s="64"/>
      <c r="AL617" s="64"/>
      <c r="AM617" s="64"/>
      <c r="AN617" s="64"/>
      <c r="AO617" s="11">
        <v>1312114</v>
      </c>
      <c r="AP617" s="65" t="str">
        <f t="shared" si="345"/>
        <v>13121142</v>
      </c>
    </row>
    <row r="618" spans="1:42" s="62" customFormat="1" ht="27.75" hidden="1" customHeight="1" thickTop="1" thickBot="1" x14ac:dyDescent="0.3">
      <c r="A618" s="56" t="s">
        <v>22</v>
      </c>
      <c r="B618" s="56" t="s">
        <v>22</v>
      </c>
      <c r="C618" s="57">
        <f t="shared" si="342"/>
        <v>1312114</v>
      </c>
      <c r="D618" s="58">
        <v>3</v>
      </c>
      <c r="E618" s="59" t="str">
        <f t="shared" si="343"/>
        <v>ACHATS DE BIENS DE CONSOMMATION ET PETITS MATERIELS</v>
      </c>
      <c r="F618" s="60" t="e">
        <f>SUMIFS([49]mensuel_section_article1!$E$3:$E$962,[49]mensuel_section_article1!$B$3:$B$962,C618,[49]mensuel_section_article1!$C$3:$C$962,D618)</f>
        <v>#VALUE!</v>
      </c>
      <c r="G618" s="60" t="e">
        <f>SUMIFS([49]mensuel_section_article1!$G$3:$G$962,[49]mensuel_section_article1!$B$3:$B$962,C618,[49]mensuel_section_article1!$C$3:$C$962,D618)</f>
        <v>#VALUE!</v>
      </c>
      <c r="H618" s="60">
        <v>0</v>
      </c>
      <c r="I618" s="60">
        <v>0</v>
      </c>
      <c r="J618" s="60">
        <v>0</v>
      </c>
      <c r="K618" s="60">
        <f t="shared" si="344"/>
        <v>0</v>
      </c>
      <c r="L618" s="61" t="e">
        <f>IF(F618&lt;&gt;0,K618/F618,0)</f>
        <v>#VALUE!</v>
      </c>
      <c r="M618" s="60" t="e">
        <f>+SUMIFS([51]section_article!$H$10:$H$936,[51]section_article!$C$10:$C$936,C618,[51]section_article!$D$10:$D$936,D618)</f>
        <v>#VALUE!</v>
      </c>
      <c r="N618" s="24" t="e">
        <f t="shared" ref="N616:N622" si="346">+J618-M618</f>
        <v>#VALUE!</v>
      </c>
      <c r="O618" s="9"/>
      <c r="Q618" s="63"/>
      <c r="AK618" s="64"/>
      <c r="AL618" s="64"/>
      <c r="AM618" s="64"/>
      <c r="AN618" s="64"/>
      <c r="AO618" s="11">
        <v>1312114</v>
      </c>
      <c r="AP618" s="65" t="str">
        <f t="shared" si="345"/>
        <v>13121143</v>
      </c>
    </row>
    <row r="619" spans="1:42" s="62" customFormat="1" ht="27.75" hidden="1" customHeight="1" thickTop="1" thickBot="1" x14ac:dyDescent="0.3">
      <c r="A619" s="56" t="s">
        <v>22</v>
      </c>
      <c r="B619" s="56" t="s">
        <v>22</v>
      </c>
      <c r="C619" s="57">
        <f t="shared" si="342"/>
        <v>1312114</v>
      </c>
      <c r="D619" s="58">
        <v>4</v>
      </c>
      <c r="E619" s="59" t="str">
        <f t="shared" si="343"/>
        <v>IMMOBILISATION CORPORELLE</v>
      </c>
      <c r="F619" s="60" t="e">
        <f>SUMIFS([49]mensuel_section_article1!$E$3:$E$962,[49]mensuel_section_article1!$B$3:$B$962,C619,[49]mensuel_section_article1!$C$3:$C$962,D619)</f>
        <v>#VALUE!</v>
      </c>
      <c r="G619" s="60" t="e">
        <f>SUMIFS([49]mensuel_section_article1!$G$3:$G$962,[49]mensuel_section_article1!$B$3:$B$962,C619,[49]mensuel_section_article1!$C$3:$C$962,D619)</f>
        <v>#VALUE!</v>
      </c>
      <c r="H619" s="60">
        <v>0</v>
      </c>
      <c r="I619" s="60">
        <v>0</v>
      </c>
      <c r="J619" s="60">
        <v>0</v>
      </c>
      <c r="K619" s="60">
        <f t="shared" si="344"/>
        <v>0</v>
      </c>
      <c r="L619" s="61" t="e">
        <f>IF(F619&lt;&gt;0,K619/F619,0)</f>
        <v>#VALUE!</v>
      </c>
      <c r="M619" s="60" t="e">
        <f>+SUMIFS([51]section_article!$H$10:$H$936,[51]section_article!$C$10:$C$936,C619,[51]section_article!$D$10:$D$936,D619)</f>
        <v>#VALUE!</v>
      </c>
      <c r="N619" s="24" t="e">
        <f t="shared" si="346"/>
        <v>#VALUE!</v>
      </c>
      <c r="O619" s="9"/>
      <c r="Q619" s="63">
        <f>25000000+15000000</f>
        <v>40000000</v>
      </c>
      <c r="AK619" s="64"/>
      <c r="AL619" s="64"/>
      <c r="AM619" s="64"/>
      <c r="AN619" s="64"/>
      <c r="AO619" s="11">
        <v>1312114</v>
      </c>
      <c r="AP619" s="65" t="str">
        <f t="shared" si="345"/>
        <v>13121144</v>
      </c>
    </row>
    <row r="620" spans="1:42" s="62" customFormat="1" ht="27.75" hidden="1" customHeight="1" thickTop="1" thickBot="1" x14ac:dyDescent="0.3">
      <c r="A620" s="101" t="s">
        <v>22</v>
      </c>
      <c r="B620" s="101" t="s">
        <v>22</v>
      </c>
      <c r="C620" s="57">
        <f t="shared" si="342"/>
        <v>1312114</v>
      </c>
      <c r="D620" s="58">
        <v>5</v>
      </c>
      <c r="E620" s="59" t="str">
        <f t="shared" si="343"/>
        <v>IMMOBILISATION INCORPORELLE</v>
      </c>
      <c r="F620" s="60" t="e">
        <f>SUMIFS([49]mensuel_section_article1!$E$3:$E$962,[49]mensuel_section_article1!$B$3:$B$962,C620,[49]mensuel_section_article1!$C$3:$C$962,D620)</f>
        <v>#VALUE!</v>
      </c>
      <c r="G620" s="60" t="e">
        <f>SUMIFS([49]mensuel_section_article1!$G$3:$G$962,[49]mensuel_section_article1!$B$3:$B$962,C620,[49]mensuel_section_article1!$C$3:$C$962,D620)</f>
        <v>#VALUE!</v>
      </c>
      <c r="H620" s="60">
        <v>0</v>
      </c>
      <c r="I620" s="60">
        <v>0</v>
      </c>
      <c r="J620" s="60">
        <v>0</v>
      </c>
      <c r="K620" s="60">
        <f t="shared" si="344"/>
        <v>0</v>
      </c>
      <c r="L620" s="61" t="e">
        <f>IF(F620&lt;&gt;0,K620/F620,0)</f>
        <v>#VALUE!</v>
      </c>
      <c r="M620" s="60" t="e">
        <f>+SUMIFS([51]section_article!$H$10:$H$936,[51]section_article!$C$10:$C$936,C620,[51]section_article!$D$10:$D$936,D620)</f>
        <v>#VALUE!</v>
      </c>
      <c r="N620" s="24" t="e">
        <f t="shared" si="346"/>
        <v>#VALUE!</v>
      </c>
      <c r="O620" s="9"/>
      <c r="Q620" s="63"/>
      <c r="AK620" s="64"/>
      <c r="AL620" s="64"/>
      <c r="AM620" s="64"/>
      <c r="AN620" s="64"/>
      <c r="AO620" s="11">
        <v>1312114</v>
      </c>
      <c r="AP620" s="65" t="str">
        <f t="shared" si="345"/>
        <v>13121145</v>
      </c>
    </row>
    <row r="621" spans="1:42" s="62" customFormat="1" ht="27.75" hidden="1" customHeight="1" thickTop="1" thickBot="1" x14ac:dyDescent="0.3">
      <c r="A621" s="101" t="s">
        <v>22</v>
      </c>
      <c r="B621" s="101" t="s">
        <v>22</v>
      </c>
      <c r="C621" s="57">
        <f t="shared" si="342"/>
        <v>1312114</v>
      </c>
      <c r="D621" s="58">
        <v>7</v>
      </c>
      <c r="E621" s="59" t="str">
        <f t="shared" si="343"/>
        <v>SUBVENTIONS,QUOTES-PARTS ET CONTRIB.,ALLOC, INDEMNISATIONS</v>
      </c>
      <c r="F621" s="60" t="e">
        <f>SUMIFS([49]mensuel_section_article1!$E$3:$E$962,[49]mensuel_section_article1!$B$3:$B$962,C621,[49]mensuel_section_article1!$C$3:$C$962,D621)</f>
        <v>#VALUE!</v>
      </c>
      <c r="G621" s="60" t="e">
        <f>SUMIFS([49]mensuel_section_article1!$G$3:$G$962,[49]mensuel_section_article1!$B$3:$B$962,C621,[49]mensuel_section_article1!$C$3:$C$962,D621)</f>
        <v>#VALUE!</v>
      </c>
      <c r="H621" s="60">
        <v>0</v>
      </c>
      <c r="I621" s="60">
        <v>0</v>
      </c>
      <c r="J621" s="60">
        <v>0</v>
      </c>
      <c r="K621" s="60">
        <f t="shared" si="344"/>
        <v>0</v>
      </c>
      <c r="L621" s="61" t="e">
        <f>IF(F621&lt;&gt;0,K621/F621,0)</f>
        <v>#VALUE!</v>
      </c>
      <c r="M621" s="60" t="e">
        <f>+SUMIFS([51]section_article!$H$10:$H$936,[51]section_article!$C$10:$C$936,C621,[51]section_article!$D$10:$D$936,D621)</f>
        <v>#VALUE!</v>
      </c>
      <c r="N621" s="24" t="e">
        <f t="shared" si="346"/>
        <v>#VALUE!</v>
      </c>
      <c r="O621" s="9"/>
      <c r="Q621" s="63"/>
      <c r="AK621" s="64"/>
      <c r="AL621" s="64"/>
      <c r="AM621" s="64"/>
      <c r="AN621" s="64"/>
      <c r="AO621" s="11">
        <v>1312114</v>
      </c>
      <c r="AP621" s="65" t="str">
        <f t="shared" si="345"/>
        <v>13121147</v>
      </c>
    </row>
    <row r="622" spans="1:42" s="62" customFormat="1" ht="27.75" hidden="1" customHeight="1" thickTop="1" thickBot="1" x14ac:dyDescent="0.3">
      <c r="A622" s="56" t="s">
        <v>22</v>
      </c>
      <c r="B622" s="56" t="s">
        <v>22</v>
      </c>
      <c r="C622" s="57">
        <f t="shared" si="342"/>
        <v>1312114</v>
      </c>
      <c r="D622" s="58">
        <v>9</v>
      </c>
      <c r="E622" s="59" t="str">
        <f t="shared" si="343"/>
        <v>AUTRES DEPENSES PUBLIQUES</v>
      </c>
      <c r="F622" s="60" t="e">
        <f>SUMIFS([49]mensuel_section_article1!$E$3:$E$962,[49]mensuel_section_article1!$B$3:$B$962,C622,[49]mensuel_section_article1!$C$3:$C$962,D622)</f>
        <v>#VALUE!</v>
      </c>
      <c r="G622" s="60" t="e">
        <f>SUMIFS([49]mensuel_section_article1!$G$3:$G$962,[49]mensuel_section_article1!$B$3:$B$962,C622,[49]mensuel_section_article1!$C$3:$C$962,D622)</f>
        <v>#VALUE!</v>
      </c>
      <c r="H622" s="60">
        <v>0</v>
      </c>
      <c r="I622" s="60">
        <v>0</v>
      </c>
      <c r="J622" s="60">
        <v>0</v>
      </c>
      <c r="K622" s="60">
        <f t="shared" si="344"/>
        <v>0</v>
      </c>
      <c r="L622" s="61" t="e">
        <f>IF(F622&lt;&gt;0,K622/F622,0)</f>
        <v>#VALUE!</v>
      </c>
      <c r="M622" s="60" t="e">
        <f>+SUMIFS([51]section_article!$H$10:$H$936,[51]section_article!$C$10:$C$936,C622,[51]section_article!$D$10:$D$936,D622)</f>
        <v>#VALUE!</v>
      </c>
      <c r="N622" s="24" t="e">
        <f t="shared" si="346"/>
        <v>#VALUE!</v>
      </c>
      <c r="O622" s="9"/>
      <c r="Q622" s="63"/>
      <c r="AK622" s="64"/>
      <c r="AL622" s="64"/>
      <c r="AM622" s="64"/>
      <c r="AN622" s="64"/>
      <c r="AO622" s="11">
        <v>1312114</v>
      </c>
      <c r="AP622" s="65" t="str">
        <f t="shared" si="345"/>
        <v>13121149</v>
      </c>
    </row>
    <row r="623" spans="1:42" s="1" customFormat="1" ht="27.75" customHeight="1" thickTop="1" thickBot="1" x14ac:dyDescent="0.3">
      <c r="A623" s="71" t="s">
        <v>20</v>
      </c>
      <c r="B623" s="71" t="s">
        <v>20</v>
      </c>
      <c r="C623" s="71" t="s">
        <v>20</v>
      </c>
      <c r="D623" s="51">
        <v>1312115</v>
      </c>
      <c r="E623" s="67" t="s">
        <v>103</v>
      </c>
      <c r="F623" s="68" t="e">
        <f>SUMIF($B$624:$B$630,"article",F624:F630)</f>
        <v>#VALUE!</v>
      </c>
      <c r="G623" s="68" t="e">
        <f>SUMIF($B$624:$B$630,"article",G624:G630)</f>
        <v>#VALUE!</v>
      </c>
      <c r="H623" s="68">
        <f>SUMIF($B$624:$B$630,"article",H624:H630)</f>
        <v>114999888.29000001</v>
      </c>
      <c r="I623" s="68">
        <v>114999888.3</v>
      </c>
      <c r="J623" s="68">
        <f>SUMIF($B$624:$B$630,"article",J624:J630)</f>
        <v>110067366.14</v>
      </c>
      <c r="K623" s="68">
        <f>SUMIF($B$624:$B$630,"article",K624:K630)</f>
        <v>4932522.150000006</v>
      </c>
      <c r="L623" s="69">
        <f>+J623/H623</f>
        <v>0.95710846137901051</v>
      </c>
      <c r="M623" s="68"/>
      <c r="N623" s="68"/>
      <c r="O623" s="9"/>
      <c r="Q623" s="23"/>
      <c r="AK623" s="70"/>
      <c r="AL623" s="70"/>
      <c r="AM623" s="70"/>
      <c r="AN623" s="70"/>
      <c r="AO623" s="11">
        <v>1312115</v>
      </c>
    </row>
    <row r="624" spans="1:42" s="62" customFormat="1" ht="27.75" customHeight="1" thickTop="1" thickBot="1" x14ac:dyDescent="0.3">
      <c r="A624" s="56" t="s">
        <v>22</v>
      </c>
      <c r="B624" s="56" t="s">
        <v>22</v>
      </c>
      <c r="C624" s="57">
        <f t="shared" ref="C624:C630" si="347">IF(A623="SECTION",D623,C623)</f>
        <v>1312115</v>
      </c>
      <c r="D624" s="58">
        <v>1</v>
      </c>
      <c r="E624" s="59" t="str">
        <f t="shared" ref="E624:E630" si="348">IF(D624=1, "DEPENSES DE PERSONNEL",  +IF(D624=2,"DEPENSES DE SERVICES ET CHARGES DIVERSES", +IF(D624=3,"ACHATS DE BIENS DE CONSOMMATION ET PETITS MATERIELS",+IF(D624=4,"IMMOBILISATION CORPORELLE",+IF(D624=5,"IMMOBILISATION INCORPORELLE",+IF(D624=7,"SUBVENTIONS,QUOTES-PARTS ET CONTRIB.,ALLOC, INDEMNISATIONS",+IF(D624=8,"AMORTISSEMENT DE LA DETTE",+IF(D624=9,"AUTRES DEPENSES PUBLIQUES",0))))))))</f>
        <v>DEPENSES DE PERSONNEL</v>
      </c>
      <c r="F624" s="60" t="e">
        <f>SUMIFS([49]mensuel_section_article1!$E$3:$E$962,[49]mensuel_section_article1!$B$3:$B$962,C624,[49]mensuel_section_article1!$C$3:$C$962,D624)</f>
        <v>#VALUE!</v>
      </c>
      <c r="G624" s="60" t="e">
        <f>SUMIFS([49]mensuel_section_article1!$G$3:$G$962,[49]mensuel_section_article1!$B$3:$B$962,C624,[49]mensuel_section_article1!$C$3:$C$962,D624)</f>
        <v>#VALUE!</v>
      </c>
      <c r="H624" s="60">
        <v>50953171.290000007</v>
      </c>
      <c r="I624" s="60">
        <v>50953171.299999997</v>
      </c>
      <c r="J624" s="60">
        <v>47358421.479999997</v>
      </c>
      <c r="K624" s="60">
        <f t="shared" ref="K624:K630" si="349">+H624-J624</f>
        <v>3594749.8100000098</v>
      </c>
      <c r="L624" s="61">
        <f>+J624/H624</f>
        <v>0.92944992982791019</v>
      </c>
      <c r="M624" s="60"/>
      <c r="N624" s="24"/>
      <c r="O624" s="9"/>
      <c r="Q624" s="63"/>
      <c r="AK624" s="64"/>
      <c r="AL624" s="64"/>
      <c r="AM624" s="64"/>
      <c r="AN624" s="64"/>
      <c r="AO624" s="11">
        <v>1312115</v>
      </c>
      <c r="AP624" s="65" t="str">
        <f t="shared" ref="AP624:AP630" si="350">CONCATENATE(AO624,D624)</f>
        <v>13121151</v>
      </c>
    </row>
    <row r="625" spans="1:42" s="62" customFormat="1" ht="27.75" customHeight="1" thickTop="1" thickBot="1" x14ac:dyDescent="0.3">
      <c r="A625" s="56" t="s">
        <v>22</v>
      </c>
      <c r="B625" s="56" t="s">
        <v>22</v>
      </c>
      <c r="C625" s="57">
        <f t="shared" si="347"/>
        <v>1312115</v>
      </c>
      <c r="D625" s="58">
        <v>2</v>
      </c>
      <c r="E625" s="59" t="str">
        <f t="shared" si="348"/>
        <v>DEPENSES DE SERVICES ET CHARGES DIVERSES</v>
      </c>
      <c r="F625" s="60" t="e">
        <f>SUMIFS([49]mensuel_section_article1!$E$3:$E$962,[49]mensuel_section_article1!$B$3:$B$962,C625,[49]mensuel_section_article1!$C$3:$C$962,D625)</f>
        <v>#VALUE!</v>
      </c>
      <c r="G625" s="60" t="e">
        <f>SUMIFS([49]mensuel_section_article1!$G$3:$G$962,[49]mensuel_section_article1!$B$3:$B$962,C625,[49]mensuel_section_article1!$C$3:$C$962,D625)</f>
        <v>#VALUE!</v>
      </c>
      <c r="H625" s="60">
        <v>64046717</v>
      </c>
      <c r="I625" s="60">
        <v>64046717</v>
      </c>
      <c r="J625" s="60">
        <v>62708944.660000004</v>
      </c>
      <c r="K625" s="60">
        <f t="shared" si="349"/>
        <v>1337772.3399999961</v>
      </c>
      <c r="L625" s="61">
        <f>+J625/H625</f>
        <v>0.97911255404394892</v>
      </c>
      <c r="M625" s="60"/>
      <c r="N625" s="24"/>
      <c r="O625" s="9"/>
      <c r="Q625" s="63"/>
      <c r="AK625" s="64"/>
      <c r="AL625" s="64"/>
      <c r="AM625" s="64"/>
      <c r="AN625" s="64"/>
      <c r="AO625" s="11">
        <v>1312115</v>
      </c>
      <c r="AP625" s="65" t="str">
        <f t="shared" si="350"/>
        <v>13121152</v>
      </c>
    </row>
    <row r="626" spans="1:42" s="62" customFormat="1" ht="27.75" hidden="1" customHeight="1" thickTop="1" thickBot="1" x14ac:dyDescent="0.3">
      <c r="A626" s="56" t="s">
        <v>22</v>
      </c>
      <c r="B626" s="56" t="s">
        <v>22</v>
      </c>
      <c r="C626" s="57">
        <f t="shared" si="347"/>
        <v>1312115</v>
      </c>
      <c r="D626" s="58">
        <v>3</v>
      </c>
      <c r="E626" s="59" t="str">
        <f t="shared" si="348"/>
        <v>ACHATS DE BIENS DE CONSOMMATION ET PETITS MATERIELS</v>
      </c>
      <c r="F626" s="60" t="e">
        <f>SUMIFS([49]mensuel_section_article1!$E$3:$E$962,[49]mensuel_section_article1!$B$3:$B$962,C626,[49]mensuel_section_article1!$C$3:$C$962,D626)</f>
        <v>#VALUE!</v>
      </c>
      <c r="G626" s="60" t="e">
        <f>SUMIFS([49]mensuel_section_article1!$G$3:$G$962,[49]mensuel_section_article1!$B$3:$B$962,C626,[49]mensuel_section_article1!$C$3:$C$962,D626)</f>
        <v>#VALUE!</v>
      </c>
      <c r="H626" s="60">
        <v>0</v>
      </c>
      <c r="I626" s="60">
        <v>0</v>
      </c>
      <c r="J626" s="60">
        <v>0</v>
      </c>
      <c r="K626" s="60">
        <f t="shared" si="349"/>
        <v>0</v>
      </c>
      <c r="L626" s="61" t="e">
        <f>IF(F626&lt;&gt;0,K626/F626,0)</f>
        <v>#VALUE!</v>
      </c>
      <c r="M626" s="60" t="e">
        <f>+SUMIFS([51]section_article!$H$10:$H$936,[51]section_article!$C$10:$C$936,C626,[51]section_article!$D$10:$D$936,D626)</f>
        <v>#VALUE!</v>
      </c>
      <c r="N626" s="24" t="e">
        <f t="shared" ref="N624:N630" si="351">+J626-M626</f>
        <v>#VALUE!</v>
      </c>
      <c r="O626" s="9"/>
      <c r="Q626" s="63"/>
      <c r="AK626" s="64"/>
      <c r="AL626" s="64"/>
      <c r="AM626" s="64"/>
      <c r="AN626" s="64"/>
      <c r="AO626" s="11">
        <v>1312115</v>
      </c>
      <c r="AP626" s="65" t="str">
        <f t="shared" si="350"/>
        <v>13121153</v>
      </c>
    </row>
    <row r="627" spans="1:42" s="62" customFormat="1" ht="27.75" hidden="1" customHeight="1" thickTop="1" thickBot="1" x14ac:dyDescent="0.3">
      <c r="A627" s="56" t="s">
        <v>22</v>
      </c>
      <c r="B627" s="56" t="s">
        <v>22</v>
      </c>
      <c r="C627" s="57">
        <f t="shared" si="347"/>
        <v>1312115</v>
      </c>
      <c r="D627" s="58">
        <v>4</v>
      </c>
      <c r="E627" s="59" t="str">
        <f t="shared" si="348"/>
        <v>IMMOBILISATION CORPORELLE</v>
      </c>
      <c r="F627" s="60" t="e">
        <f>SUMIFS([49]mensuel_section_article1!$E$3:$E$962,[49]mensuel_section_article1!$B$3:$B$962,C627,[49]mensuel_section_article1!$C$3:$C$962,D627)</f>
        <v>#VALUE!</v>
      </c>
      <c r="G627" s="60" t="e">
        <f>SUMIFS([49]mensuel_section_article1!$G$3:$G$962,[49]mensuel_section_article1!$B$3:$B$962,C627,[49]mensuel_section_article1!$C$3:$C$962,D627)</f>
        <v>#VALUE!</v>
      </c>
      <c r="H627" s="60">
        <v>0</v>
      </c>
      <c r="I627" s="60">
        <v>0</v>
      </c>
      <c r="J627" s="60">
        <v>0</v>
      </c>
      <c r="K627" s="60">
        <f t="shared" si="349"/>
        <v>0</v>
      </c>
      <c r="L627" s="61" t="e">
        <f>IF(F627&lt;&gt;0,K627/F627,0)</f>
        <v>#VALUE!</v>
      </c>
      <c r="M627" s="60" t="e">
        <f>+SUMIFS([51]section_article!$H$10:$H$936,[51]section_article!$C$10:$C$936,C627,[51]section_article!$D$10:$D$936,D627)</f>
        <v>#VALUE!</v>
      </c>
      <c r="N627" s="24" t="e">
        <f t="shared" si="351"/>
        <v>#VALUE!</v>
      </c>
      <c r="O627" s="9"/>
      <c r="Q627" s="63"/>
      <c r="AK627" s="64"/>
      <c r="AL627" s="64"/>
      <c r="AM627" s="64"/>
      <c r="AN627" s="64"/>
      <c r="AO627" s="11">
        <v>1312115</v>
      </c>
      <c r="AP627" s="65" t="str">
        <f t="shared" si="350"/>
        <v>13121154</v>
      </c>
    </row>
    <row r="628" spans="1:42" s="62" customFormat="1" ht="27.75" hidden="1" customHeight="1" thickTop="1" thickBot="1" x14ac:dyDescent="0.3">
      <c r="A628" s="56" t="s">
        <v>22</v>
      </c>
      <c r="B628" s="56" t="s">
        <v>22</v>
      </c>
      <c r="C628" s="57">
        <f t="shared" si="347"/>
        <v>1312115</v>
      </c>
      <c r="D628" s="58">
        <v>5</v>
      </c>
      <c r="E628" s="59" t="str">
        <f t="shared" si="348"/>
        <v>IMMOBILISATION INCORPORELLE</v>
      </c>
      <c r="F628" s="60" t="e">
        <f>SUMIFS([49]mensuel_section_article1!$E$3:$E$962,[49]mensuel_section_article1!$B$3:$B$962,C628,[49]mensuel_section_article1!$C$3:$C$962,D628)</f>
        <v>#VALUE!</v>
      </c>
      <c r="G628" s="60" t="e">
        <f>SUMIFS([49]mensuel_section_article1!$G$3:$G$962,[49]mensuel_section_article1!$B$3:$B$962,C628,[49]mensuel_section_article1!$C$3:$C$962,D628)</f>
        <v>#VALUE!</v>
      </c>
      <c r="H628" s="60">
        <v>0</v>
      </c>
      <c r="I628" s="60">
        <v>0</v>
      </c>
      <c r="J628" s="60">
        <v>0</v>
      </c>
      <c r="K628" s="60">
        <f t="shared" si="349"/>
        <v>0</v>
      </c>
      <c r="L628" s="61" t="e">
        <f>IF(F628&lt;&gt;0,K628/F628,0)</f>
        <v>#VALUE!</v>
      </c>
      <c r="M628" s="60" t="e">
        <f>+SUMIFS([51]section_article!$H$10:$H$936,[51]section_article!$C$10:$C$936,C628,[51]section_article!$D$10:$D$936,D628)</f>
        <v>#VALUE!</v>
      </c>
      <c r="N628" s="24" t="e">
        <f t="shared" si="351"/>
        <v>#VALUE!</v>
      </c>
      <c r="O628" s="9"/>
      <c r="Q628" s="63"/>
      <c r="AK628" s="64"/>
      <c r="AL628" s="64"/>
      <c r="AM628" s="64"/>
      <c r="AN628" s="64"/>
      <c r="AO628" s="11">
        <v>1312115</v>
      </c>
      <c r="AP628" s="65" t="str">
        <f t="shared" si="350"/>
        <v>13121155</v>
      </c>
    </row>
    <row r="629" spans="1:42" s="62" customFormat="1" ht="27.75" hidden="1" customHeight="1" thickTop="1" thickBot="1" x14ac:dyDescent="0.3">
      <c r="A629" s="56" t="s">
        <v>22</v>
      </c>
      <c r="B629" s="56" t="s">
        <v>22</v>
      </c>
      <c r="C629" s="57">
        <f t="shared" si="347"/>
        <v>1312115</v>
      </c>
      <c r="D629" s="58">
        <v>7</v>
      </c>
      <c r="E629" s="59" t="str">
        <f t="shared" si="348"/>
        <v>SUBVENTIONS,QUOTES-PARTS ET CONTRIB.,ALLOC, INDEMNISATIONS</v>
      </c>
      <c r="F629" s="60" t="e">
        <f>SUMIFS([49]mensuel_section_article1!$E$3:$E$962,[49]mensuel_section_article1!$B$3:$B$962,C629,[49]mensuel_section_article1!$C$3:$C$962,D629)</f>
        <v>#VALUE!</v>
      </c>
      <c r="G629" s="60" t="e">
        <f>SUMIFS([49]mensuel_section_article1!$G$3:$G$962,[49]mensuel_section_article1!$B$3:$B$962,C629,[49]mensuel_section_article1!$C$3:$C$962,D629)</f>
        <v>#VALUE!</v>
      </c>
      <c r="H629" s="60">
        <v>0</v>
      </c>
      <c r="I629" s="60">
        <v>0</v>
      </c>
      <c r="J629" s="60">
        <v>0</v>
      </c>
      <c r="K629" s="60">
        <f t="shared" si="349"/>
        <v>0</v>
      </c>
      <c r="L629" s="61" t="e">
        <f>IF(F629&lt;&gt;0,K629/F629,0)</f>
        <v>#VALUE!</v>
      </c>
      <c r="M629" s="60" t="e">
        <f>+SUMIFS([51]section_article!$H$10:$H$936,[51]section_article!$C$10:$C$936,C629,[51]section_article!$D$10:$D$936,D629)</f>
        <v>#VALUE!</v>
      </c>
      <c r="N629" s="24" t="e">
        <f t="shared" si="351"/>
        <v>#VALUE!</v>
      </c>
      <c r="O629" s="9"/>
      <c r="Q629" s="63"/>
      <c r="AK629" s="64"/>
      <c r="AL629" s="64"/>
      <c r="AM629" s="64"/>
      <c r="AN629" s="64"/>
      <c r="AO629" s="11">
        <v>1312115</v>
      </c>
      <c r="AP629" s="65" t="str">
        <f t="shared" si="350"/>
        <v>13121157</v>
      </c>
    </row>
    <row r="630" spans="1:42" s="62" customFormat="1" ht="27.75" hidden="1" customHeight="1" thickTop="1" thickBot="1" x14ac:dyDescent="0.3">
      <c r="A630" s="56" t="s">
        <v>22</v>
      </c>
      <c r="B630" s="56" t="s">
        <v>22</v>
      </c>
      <c r="C630" s="57">
        <f t="shared" si="347"/>
        <v>1312115</v>
      </c>
      <c r="D630" s="58">
        <v>9</v>
      </c>
      <c r="E630" s="59" t="str">
        <f t="shared" si="348"/>
        <v>AUTRES DEPENSES PUBLIQUES</v>
      </c>
      <c r="F630" s="60" t="e">
        <f>SUMIFS([49]mensuel_section_article1!$E$3:$E$962,[49]mensuel_section_article1!$B$3:$B$962,C630,[49]mensuel_section_article1!$C$3:$C$962,D630)</f>
        <v>#VALUE!</v>
      </c>
      <c r="G630" s="60" t="e">
        <f>SUMIFS([49]mensuel_section_article1!$G$3:$G$962,[49]mensuel_section_article1!$B$3:$B$962,C630,[49]mensuel_section_article1!$C$3:$C$962,D630)</f>
        <v>#VALUE!</v>
      </c>
      <c r="H630" s="60">
        <v>0</v>
      </c>
      <c r="I630" s="60">
        <v>0</v>
      </c>
      <c r="J630" s="60">
        <v>0</v>
      </c>
      <c r="K630" s="60">
        <f t="shared" si="349"/>
        <v>0</v>
      </c>
      <c r="L630" s="61" t="e">
        <f>IF(F630&lt;&gt;0,K630/F630,0)</f>
        <v>#VALUE!</v>
      </c>
      <c r="M630" s="60" t="e">
        <f>+SUMIFS([51]section_article!$H$10:$H$936,[51]section_article!$C$10:$C$936,C630,[51]section_article!$D$10:$D$936,D630)</f>
        <v>#VALUE!</v>
      </c>
      <c r="N630" s="24" t="e">
        <f t="shared" si="351"/>
        <v>#VALUE!</v>
      </c>
      <c r="O630" s="9"/>
      <c r="Q630" s="63"/>
      <c r="AK630" s="64"/>
      <c r="AL630" s="64"/>
      <c r="AM630" s="64"/>
      <c r="AN630" s="64"/>
      <c r="AO630" s="11">
        <v>1312115</v>
      </c>
      <c r="AP630" s="65" t="str">
        <f t="shared" si="350"/>
        <v>13121159</v>
      </c>
    </row>
    <row r="631" spans="1:42" s="1" customFormat="1" ht="27.75" customHeight="1" thickTop="1" thickBot="1" x14ac:dyDescent="0.3">
      <c r="A631" s="50" t="s">
        <v>20</v>
      </c>
      <c r="B631" s="50" t="s">
        <v>20</v>
      </c>
      <c r="C631" s="50" t="s">
        <v>20</v>
      </c>
      <c r="D631" s="51">
        <v>1312117</v>
      </c>
      <c r="E631" s="67" t="s">
        <v>104</v>
      </c>
      <c r="F631" s="68" t="e">
        <f>SUMIF($B$632:$B$633,"article",F632:F633)</f>
        <v>#VALUE!</v>
      </c>
      <c r="G631" s="68" t="e">
        <f>SUMIF($B$632:$B$633,"article",G632:G633)</f>
        <v>#VALUE!</v>
      </c>
      <c r="H631" s="68">
        <f>SUMIF($B$632:$B$633,"article",H632:H633)</f>
        <v>45031536.002999999</v>
      </c>
      <c r="I631" s="68">
        <v>45031536</v>
      </c>
      <c r="J631" s="68">
        <f>SUMIF($B$632:$B$633,"article",J632:J633)</f>
        <v>44682003.230000004</v>
      </c>
      <c r="K631" s="68">
        <f>SUMIF($B$632:$B$633,"article",K632:K633)</f>
        <v>349532.77299999446</v>
      </c>
      <c r="L631" s="69">
        <f t="shared" ref="L631:L638" si="352">+J631/H631</f>
        <v>0.99223804462329002</v>
      </c>
      <c r="M631" s="68"/>
      <c r="N631" s="68"/>
      <c r="O631" s="9"/>
      <c r="Q631" s="23"/>
      <c r="AK631" s="70"/>
      <c r="AL631" s="70"/>
      <c r="AM631" s="70"/>
      <c r="AN631" s="70"/>
      <c r="AO631" s="11">
        <v>1312117</v>
      </c>
    </row>
    <row r="632" spans="1:42" s="62" customFormat="1" ht="27.75" customHeight="1" thickTop="1" thickBot="1" x14ac:dyDescent="0.3">
      <c r="A632" s="56" t="s">
        <v>22</v>
      </c>
      <c r="B632" s="56" t="s">
        <v>22</v>
      </c>
      <c r="C632" s="57">
        <f>IF(A631="SECTION",D631,C631)</f>
        <v>1312117</v>
      </c>
      <c r="D632" s="58">
        <v>1</v>
      </c>
      <c r="E632" s="59" t="str">
        <f>IF(D632=1, "DEPENSES DE PERSONNEL",  +IF(D632=2,"DEPENSES DE SERVICES ET CHARGES DIVERSES", +IF(D632=3,"ACHATS DE BIENS DE CONSOMMATION ET PETITS MATERIELS",+IF(D632=4,"IMMOBILISATION CORPORELLE",+IF(D632=5,"IMMOBILISATION INCORPORELLE",+IF(D632=7,"SUBVENTIONS,QUOTES-PARTS ET CONTRIB.,ALLOC, INDEMNISATIONS",+IF(D632=8,"AMORTISSEMENT DE LA DETTE",+IF(D632=9,"AUTRES DEPENSES PUBLIQUES",0))))))))</f>
        <v>DEPENSES DE PERSONNEL</v>
      </c>
      <c r="F632" s="60" t="e">
        <f>SUMIFS([49]mensuel_section_article1!$E$3:$E$962,[49]mensuel_section_article1!$B$3:$B$962,C632,[49]mensuel_section_article1!$C$3:$C$962,D632)</f>
        <v>#VALUE!</v>
      </c>
      <c r="G632" s="60" t="e">
        <f>SUMIFS([49]mensuel_section_article1!$G$3:$G$962,[49]mensuel_section_article1!$B$3:$B$962,C632,[49]mensuel_section_article1!$C$3:$C$962,D632)</f>
        <v>#VALUE!</v>
      </c>
      <c r="H632" s="60">
        <v>25031544</v>
      </c>
      <c r="I632" s="60">
        <v>25031544</v>
      </c>
      <c r="J632" s="60">
        <v>24691421.670000002</v>
      </c>
      <c r="K632" s="60">
        <f t="shared" ref="K632:K633" si="353">+H632-J632</f>
        <v>340122.32999999821</v>
      </c>
      <c r="L632" s="61">
        <f t="shared" si="352"/>
        <v>0.98641225127782772</v>
      </c>
      <c r="M632" s="60"/>
      <c r="N632" s="24"/>
      <c r="O632" s="9"/>
      <c r="Q632" s="23"/>
      <c r="AK632" s="64"/>
      <c r="AL632" s="64"/>
      <c r="AM632" s="64"/>
      <c r="AN632" s="64"/>
      <c r="AO632" s="11">
        <v>1312117</v>
      </c>
      <c r="AP632" s="65" t="str">
        <f>CONCATENATE(AO632,D632)</f>
        <v>13121171</v>
      </c>
    </row>
    <row r="633" spans="1:42" s="62" customFormat="1" ht="27.75" customHeight="1" thickTop="1" thickBot="1" x14ac:dyDescent="0.3">
      <c r="A633" s="56" t="s">
        <v>22</v>
      </c>
      <c r="B633" s="56" t="s">
        <v>22</v>
      </c>
      <c r="C633" s="57">
        <f>IF(A631="SECTION",D631,C631)</f>
        <v>1312117</v>
      </c>
      <c r="D633" s="58">
        <v>9</v>
      </c>
      <c r="E633" s="59" t="str">
        <f>IF(D633=1, "DEPENSES DE PERSONNEL",  +IF(D633=2,"DEPENSES DE SERVICES ET CHARGES DIVERSES", +IF(D633=3,"ACHATS DE BIENS DE CONSOMMATION ET PETITS MATERIELS",+IF(D633=4,"IMMOBILISATION CORPORELLE",+IF(D633=5,"IMMOBILISATION INCORPORELLE",+IF(D633=7,"SUBVENTIONS,QUOTES-PARTS ET CONTRIB.,ALLOC, INDEMNISATIONS",+IF(D633=8,"AMORTISSEMENT DE LA DETTE",+IF(D633=9,"AUTRES DEPENSES PUBLIQUES",0))))))))</f>
        <v>AUTRES DEPENSES PUBLIQUES</v>
      </c>
      <c r="F633" s="60" t="e">
        <f>SUMIFS([49]mensuel_section_article1!$E$3:$E$962,[49]mensuel_section_article1!$B$3:$B$962,C633,[49]mensuel_section_article1!$C$3:$C$962,D633)</f>
        <v>#VALUE!</v>
      </c>
      <c r="G633" s="60" t="e">
        <f>SUMIFS([49]mensuel_section_article1!$G$3:$G$962,[49]mensuel_section_article1!$B$3:$B$962,C633,[49]mensuel_section_article1!$C$3:$C$962,D633)</f>
        <v>#VALUE!</v>
      </c>
      <c r="H633" s="60">
        <v>19999992.002999999</v>
      </c>
      <c r="I633" s="60">
        <v>19999992</v>
      </c>
      <c r="J633" s="60">
        <v>19990581.560000002</v>
      </c>
      <c r="K633" s="60">
        <f t="shared" si="353"/>
        <v>9410.4429999962449</v>
      </c>
      <c r="L633" s="61">
        <f t="shared" si="352"/>
        <v>0.99952947766186184</v>
      </c>
      <c r="M633" s="60"/>
      <c r="N633" s="24"/>
      <c r="O633" s="9"/>
      <c r="Q633" s="63"/>
      <c r="AK633" s="64"/>
      <c r="AL633" s="64"/>
      <c r="AM633" s="64"/>
      <c r="AN633" s="64"/>
      <c r="AO633" s="11">
        <v>1312117</v>
      </c>
      <c r="AP633" s="65" t="str">
        <f>CONCATENATE(AO633,D633)</f>
        <v>13121179</v>
      </c>
    </row>
    <row r="634" spans="1:42" s="1" customFormat="1" ht="27.75" customHeight="1" thickTop="1" x14ac:dyDescent="0.25">
      <c r="A634" s="37" t="s">
        <v>16</v>
      </c>
      <c r="B634" s="37" t="s">
        <v>16</v>
      </c>
      <c r="C634" s="37" t="s">
        <v>16</v>
      </c>
      <c r="D634" s="73">
        <v>1313</v>
      </c>
      <c r="E634" s="74" t="s">
        <v>105</v>
      </c>
      <c r="F634" s="75" t="e">
        <f>SUMIF($B$635:$B$652,"chap",F635:F653)</f>
        <v>#VALUE!</v>
      </c>
      <c r="G634" s="75" t="e">
        <f>SUMIF($B$635:$B$652,"chap",G635:G653)</f>
        <v>#VALUE!</v>
      </c>
      <c r="H634" s="75">
        <f>SUMIF($B$635:$B$652,"chap",H635:H653)</f>
        <v>5093920068.776</v>
      </c>
      <c r="I634" s="75">
        <v>4973920068.8000021</v>
      </c>
      <c r="J634" s="75">
        <f>SUMIF($B$635:$B$652,"chap",J635:J653)</f>
        <v>4915829107.4299994</v>
      </c>
      <c r="K634" s="75">
        <f>SUMIF($B$635:$B$652,"chap",K635:K653)</f>
        <v>178090961.34600085</v>
      </c>
      <c r="L634" s="76">
        <f t="shared" si="352"/>
        <v>0.9650385245662495</v>
      </c>
      <c r="M634" s="75"/>
      <c r="N634" s="75"/>
      <c r="O634" s="9"/>
      <c r="Q634" s="23"/>
      <c r="AK634" s="77"/>
      <c r="AL634" s="77"/>
      <c r="AM634" s="77"/>
      <c r="AN634" s="77"/>
      <c r="AO634" s="11"/>
    </row>
    <row r="635" spans="1:42" s="49" customFormat="1" ht="27.75" customHeight="1" x14ac:dyDescent="0.25">
      <c r="A635" s="43" t="s">
        <v>19</v>
      </c>
      <c r="B635" s="43" t="s">
        <v>19</v>
      </c>
      <c r="C635" s="43" t="s">
        <v>19</v>
      </c>
      <c r="D635" s="44">
        <v>13131</v>
      </c>
      <c r="E635" s="45" t="str">
        <f>VLOOKUP(D635,[49]INST!$A$1:$B$626,2,FALSE)</f>
        <v>SERVICES INTERNES</v>
      </c>
      <c r="F635" s="46" t="e">
        <f>SUMIF($B$636:$B$653,"section",F636:F653)</f>
        <v>#VALUE!</v>
      </c>
      <c r="G635" s="46" t="e">
        <f>SUMIF($B$636:$B$653,"section",G636:G653)</f>
        <v>#VALUE!</v>
      </c>
      <c r="H635" s="46">
        <f>SUMIF($B$636:$B$653,"section",H636:H653)</f>
        <v>5093920068.776</v>
      </c>
      <c r="I635" s="46">
        <v>4973920068.8000021</v>
      </c>
      <c r="J635" s="46">
        <f>SUMIF($B$636:$B$653,"section",J636:J653)</f>
        <v>4915829107.4299994</v>
      </c>
      <c r="K635" s="46">
        <f>SUMIF($B$636:$B$653,"section",K636:K653)</f>
        <v>178090961.34600085</v>
      </c>
      <c r="L635" s="47">
        <f t="shared" si="352"/>
        <v>0.9650385245662495</v>
      </c>
      <c r="M635" s="46"/>
      <c r="N635" s="46"/>
      <c r="O635" s="48"/>
      <c r="Q635" s="102"/>
      <c r="AO635" s="11"/>
    </row>
    <row r="636" spans="1:42" s="1" customFormat="1" ht="27.75" customHeight="1" thickBot="1" x14ac:dyDescent="0.3">
      <c r="A636" s="50" t="s">
        <v>20</v>
      </c>
      <c r="B636" s="50" t="s">
        <v>20</v>
      </c>
      <c r="C636" s="50" t="s">
        <v>20</v>
      </c>
      <c r="D636" s="51">
        <v>1313111</v>
      </c>
      <c r="E636" s="67" t="s">
        <v>21</v>
      </c>
      <c r="F636" s="68" t="e">
        <f>SUMIF($B$637:$B$643,"article",F637:F643)</f>
        <v>#VALUE!</v>
      </c>
      <c r="G636" s="68" t="e">
        <f>SUMIF($B$637:$B$643,"article",G637:G643)</f>
        <v>#VALUE!</v>
      </c>
      <c r="H636" s="68">
        <f>SUMIF($B$637:$B$643,"article",H637:H643)</f>
        <v>96739481.919999987</v>
      </c>
      <c r="I636" s="68">
        <v>47015001.929999992</v>
      </c>
      <c r="J636" s="68">
        <f>SUMIF($B$637:$B$643,"article",J637:J643)</f>
        <v>45501176.899999999</v>
      </c>
      <c r="K636" s="68">
        <f>SUMIF($B$637:$B$643,"article",K637:K643)</f>
        <v>51238305.019999996</v>
      </c>
      <c r="L636" s="69">
        <f t="shared" si="352"/>
        <v>0.47034753543158114</v>
      </c>
      <c r="M636" s="68"/>
      <c r="N636" s="68"/>
      <c r="O636" s="9"/>
      <c r="Q636" s="23"/>
      <c r="AK636" s="70"/>
      <c r="AL636" s="70"/>
      <c r="AM636" s="70"/>
      <c r="AN636" s="70"/>
      <c r="AO636" s="11">
        <v>1313111</v>
      </c>
    </row>
    <row r="637" spans="1:42" s="62" customFormat="1" ht="27.75" customHeight="1" thickTop="1" thickBot="1" x14ac:dyDescent="0.3">
      <c r="A637" s="56" t="s">
        <v>22</v>
      </c>
      <c r="B637" s="56" t="s">
        <v>22</v>
      </c>
      <c r="C637" s="57">
        <f t="shared" ref="C637:C643" si="354">IF(A636="SECTION",D636,C636)</f>
        <v>1313111</v>
      </c>
      <c r="D637" s="58">
        <v>1</v>
      </c>
      <c r="E637" s="59" t="str">
        <f t="shared" ref="E637:E643" si="355">IF(D637=1, "DEPENSES DE PERSONNEL",  +IF(D637=2,"DEPENSES DE SERVICES ET CHARGES DIVERSES", +IF(D637=3,"ACHATS DE BIENS DE CONSOMMATION ET PETITS MATERIELS",+IF(D637=4,"IMMOBILISATION CORPORELLE",+IF(D637=5,"IMMOBILISATION INCORPORELLE",+IF(D637=7,"SUBVENTIONS,QUOTES-PARTS ET CONTRIB.,ALLOC, INDEMNISATIONS",+IF(D637=8,"AMORTISSEMENT DE LA DETTE",+IF(D637=9,"AUTRES DEPENSES PUBLIQUES",0))))))))</f>
        <v>DEPENSES DE PERSONNEL</v>
      </c>
      <c r="F637" s="60" t="e">
        <f>SUMIFS([49]mensuel_section_article1!$E$3:$E$962,[49]mensuel_section_article1!$B$3:$B$962,C637,[49]mensuel_section_article1!$C$3:$C$962,D637)</f>
        <v>#VALUE!</v>
      </c>
      <c r="G637" s="60" t="e">
        <f>SUMIFS([49]mensuel_section_article1!$G$3:$G$962,[49]mensuel_section_article1!$B$3:$B$962,C637,[49]mensuel_section_article1!$C$3:$C$962,D637)</f>
        <v>#VALUE!</v>
      </c>
      <c r="H637" s="60">
        <v>60670076.999999993</v>
      </c>
      <c r="I637" s="60">
        <v>38239807.00999999</v>
      </c>
      <c r="J637" s="60">
        <v>38231268</v>
      </c>
      <c r="K637" s="60">
        <f t="shared" ref="K637:K643" si="356">+H637-J637</f>
        <v>22438808.999999993</v>
      </c>
      <c r="L637" s="61">
        <f t="shared" si="352"/>
        <v>0.63015031281400891</v>
      </c>
      <c r="M637" s="60"/>
      <c r="N637" s="24"/>
      <c r="O637" s="9"/>
      <c r="Q637" s="63"/>
      <c r="AK637" s="64"/>
      <c r="AL637" s="64"/>
      <c r="AM637" s="64"/>
      <c r="AN637" s="64"/>
      <c r="AO637" s="11">
        <v>1313111</v>
      </c>
      <c r="AP637" s="65" t="str">
        <f t="shared" ref="AP637:AP643" si="357">CONCATENATE(AO637,D637)</f>
        <v>13131111</v>
      </c>
    </row>
    <row r="638" spans="1:42" s="62" customFormat="1" ht="27.75" customHeight="1" thickTop="1" thickBot="1" x14ac:dyDescent="0.3">
      <c r="A638" s="56" t="s">
        <v>22</v>
      </c>
      <c r="B638" s="56" t="s">
        <v>22</v>
      </c>
      <c r="C638" s="57">
        <f t="shared" si="354"/>
        <v>1313111</v>
      </c>
      <c r="D638" s="58">
        <v>2</v>
      </c>
      <c r="E638" s="59" t="str">
        <f t="shared" si="355"/>
        <v>DEPENSES DE SERVICES ET CHARGES DIVERSES</v>
      </c>
      <c r="F638" s="60" t="e">
        <f>SUMIFS([49]mensuel_section_article1!$E$3:$E$962,[49]mensuel_section_article1!$B$3:$B$962,C638,[49]mensuel_section_article1!$C$3:$C$962,D638)</f>
        <v>#VALUE!</v>
      </c>
      <c r="G638" s="60" t="e">
        <f>SUMIFS([49]mensuel_section_article1!$G$3:$G$962,[49]mensuel_section_article1!$B$3:$B$962,C638,[49]mensuel_section_article1!$C$3:$C$962,D638)</f>
        <v>#VALUE!</v>
      </c>
      <c r="H638" s="60">
        <v>3789123.92</v>
      </c>
      <c r="I638" s="60">
        <v>496832.92</v>
      </c>
      <c r="J638" s="60">
        <v>496828.9</v>
      </c>
      <c r="K638" s="60">
        <f t="shared" si="356"/>
        <v>3292295.02</v>
      </c>
      <c r="L638" s="61">
        <f t="shared" si="352"/>
        <v>0.13111972859414955</v>
      </c>
      <c r="M638" s="60"/>
      <c r="N638" s="24"/>
      <c r="O638" s="9"/>
      <c r="Q638" s="63"/>
      <c r="AK638" s="64"/>
      <c r="AL638" s="64"/>
      <c r="AM638" s="64"/>
      <c r="AN638" s="64"/>
      <c r="AO638" s="11">
        <v>1313111</v>
      </c>
      <c r="AP638" s="65" t="str">
        <f t="shared" si="357"/>
        <v>13131112</v>
      </c>
    </row>
    <row r="639" spans="1:42" s="62" customFormat="1" ht="27.75" hidden="1" customHeight="1" thickTop="1" thickBot="1" x14ac:dyDescent="0.3">
      <c r="A639" s="56" t="s">
        <v>22</v>
      </c>
      <c r="B639" s="56" t="s">
        <v>22</v>
      </c>
      <c r="C639" s="57">
        <f t="shared" si="354"/>
        <v>1313111</v>
      </c>
      <c r="D639" s="58">
        <v>3</v>
      </c>
      <c r="E639" s="59" t="str">
        <f t="shared" si="355"/>
        <v>ACHATS DE BIENS DE CONSOMMATION ET PETITS MATERIELS</v>
      </c>
      <c r="F639" s="60" t="e">
        <f>SUMIFS([49]mensuel_section_article1!$E$3:$E$962,[49]mensuel_section_article1!$B$3:$B$962,C639,[49]mensuel_section_article1!$C$3:$C$962,D639)</f>
        <v>#VALUE!</v>
      </c>
      <c r="G639" s="60" t="e">
        <f>SUMIFS([49]mensuel_section_article1!$G$3:$G$962,[49]mensuel_section_article1!$B$3:$B$962,C639,[49]mensuel_section_article1!$C$3:$C$962,D639)</f>
        <v>#VALUE!</v>
      </c>
      <c r="H639" s="60">
        <v>0</v>
      </c>
      <c r="I639" s="60">
        <v>0</v>
      </c>
      <c r="J639" s="60">
        <v>0</v>
      </c>
      <c r="K639" s="60">
        <f t="shared" si="356"/>
        <v>0</v>
      </c>
      <c r="L639" s="61" t="e">
        <f>IF(F639&lt;&gt;0,K639/F639,0)</f>
        <v>#VALUE!</v>
      </c>
      <c r="M639" s="60" t="e">
        <f>+SUMIFS([51]section_article!$H$10:$H$936,[51]section_article!$C$10:$C$936,C639,[51]section_article!$D$10:$D$936,D639)</f>
        <v>#VALUE!</v>
      </c>
      <c r="N639" s="24" t="e">
        <f t="shared" ref="N637:N643" si="358">+J639-M639</f>
        <v>#VALUE!</v>
      </c>
      <c r="O639" s="9"/>
      <c r="Q639" s="63">
        <f>650000000-649862851</f>
        <v>137149</v>
      </c>
      <c r="AK639" s="64"/>
      <c r="AL639" s="64"/>
      <c r="AM639" s="64"/>
      <c r="AN639" s="64"/>
      <c r="AO639" s="11">
        <v>1313111</v>
      </c>
      <c r="AP639" s="65" t="str">
        <f t="shared" si="357"/>
        <v>13131113</v>
      </c>
    </row>
    <row r="640" spans="1:42" s="62" customFormat="1" ht="27.75" hidden="1" customHeight="1" thickTop="1" thickBot="1" x14ac:dyDescent="0.3">
      <c r="A640" s="56" t="s">
        <v>22</v>
      </c>
      <c r="B640" s="56" t="s">
        <v>22</v>
      </c>
      <c r="C640" s="57">
        <f t="shared" si="354"/>
        <v>1313111</v>
      </c>
      <c r="D640" s="58">
        <v>4</v>
      </c>
      <c r="E640" s="59" t="str">
        <f t="shared" si="355"/>
        <v>IMMOBILISATION CORPORELLE</v>
      </c>
      <c r="F640" s="60" t="e">
        <f>SUMIFS([49]mensuel_section_article1!$E$3:$E$962,[49]mensuel_section_article1!$B$3:$B$962,C640,[49]mensuel_section_article1!$C$3:$C$962,D640)</f>
        <v>#VALUE!</v>
      </c>
      <c r="G640" s="60" t="e">
        <f>SUMIFS([49]mensuel_section_article1!$G$3:$G$962,[49]mensuel_section_article1!$B$3:$B$962,C640,[49]mensuel_section_article1!$C$3:$C$962,D640)</f>
        <v>#VALUE!</v>
      </c>
      <c r="H640" s="60">
        <v>0</v>
      </c>
      <c r="I640" s="60">
        <v>0</v>
      </c>
      <c r="J640" s="60">
        <v>0</v>
      </c>
      <c r="K640" s="60">
        <f t="shared" si="356"/>
        <v>0</v>
      </c>
      <c r="L640" s="61" t="e">
        <f>IF(F640&lt;&gt;0,K640/F640,0)</f>
        <v>#VALUE!</v>
      </c>
      <c r="M640" s="60" t="e">
        <f>+SUMIFS([51]section_article!$H$10:$H$936,[51]section_article!$C$10:$C$936,C640,[51]section_article!$D$10:$D$936,D640)</f>
        <v>#VALUE!</v>
      </c>
      <c r="N640" s="24" t="e">
        <f t="shared" si="358"/>
        <v>#VALUE!</v>
      </c>
      <c r="O640" s="9"/>
      <c r="Q640" s="63"/>
      <c r="AK640" s="64"/>
      <c r="AL640" s="64"/>
      <c r="AM640" s="64"/>
      <c r="AN640" s="64"/>
      <c r="AO640" s="11">
        <v>1313111</v>
      </c>
      <c r="AP640" s="65" t="str">
        <f t="shared" si="357"/>
        <v>13131114</v>
      </c>
    </row>
    <row r="641" spans="1:42" s="62" customFormat="1" ht="27.75" hidden="1" customHeight="1" thickTop="1" thickBot="1" x14ac:dyDescent="0.3">
      <c r="A641" s="56" t="s">
        <v>22</v>
      </c>
      <c r="B641" s="56" t="s">
        <v>22</v>
      </c>
      <c r="C641" s="57">
        <f t="shared" si="354"/>
        <v>1313111</v>
      </c>
      <c r="D641" s="58">
        <v>5</v>
      </c>
      <c r="E641" s="59" t="str">
        <f t="shared" si="355"/>
        <v>IMMOBILISATION INCORPORELLE</v>
      </c>
      <c r="F641" s="60" t="e">
        <f>SUMIFS([49]mensuel_section_article1!$E$3:$E$962,[49]mensuel_section_article1!$B$3:$B$962,C641,[49]mensuel_section_article1!$C$3:$C$962,D641)</f>
        <v>#VALUE!</v>
      </c>
      <c r="G641" s="60" t="e">
        <f>SUMIFS([49]mensuel_section_article1!$G$3:$G$962,[49]mensuel_section_article1!$B$3:$B$962,C641,[49]mensuel_section_article1!$C$3:$C$962,D641)</f>
        <v>#VALUE!</v>
      </c>
      <c r="H641" s="60">
        <v>0</v>
      </c>
      <c r="I641" s="60">
        <v>0</v>
      </c>
      <c r="J641" s="60">
        <v>0</v>
      </c>
      <c r="K641" s="60">
        <f t="shared" si="356"/>
        <v>0</v>
      </c>
      <c r="L641" s="61" t="e">
        <f>IF(F641&lt;&gt;0,K641/F641,0)</f>
        <v>#VALUE!</v>
      </c>
      <c r="M641" s="60" t="e">
        <f>+SUMIFS([51]section_article!$H$10:$H$936,[51]section_article!$C$10:$C$936,C641,[51]section_article!$D$10:$D$936,D641)</f>
        <v>#VALUE!</v>
      </c>
      <c r="N641" s="24" t="e">
        <f t="shared" si="358"/>
        <v>#VALUE!</v>
      </c>
      <c r="O641" s="9"/>
      <c r="Q641" s="63"/>
      <c r="AK641" s="64"/>
      <c r="AL641" s="64"/>
      <c r="AM641" s="64"/>
      <c r="AN641" s="64"/>
      <c r="AO641" s="11">
        <v>1313111</v>
      </c>
      <c r="AP641" s="65" t="str">
        <f t="shared" si="357"/>
        <v>13131115</v>
      </c>
    </row>
    <row r="642" spans="1:42" s="62" customFormat="1" ht="27.75" customHeight="1" thickTop="1" thickBot="1" x14ac:dyDescent="0.3">
      <c r="A642" s="56" t="s">
        <v>22</v>
      </c>
      <c r="B642" s="56" t="s">
        <v>22</v>
      </c>
      <c r="C642" s="57">
        <f t="shared" si="354"/>
        <v>1313111</v>
      </c>
      <c r="D642" s="58">
        <v>7</v>
      </c>
      <c r="E642" s="59" t="str">
        <f t="shared" si="355"/>
        <v>SUBVENTIONS,QUOTES-PARTS ET CONTRIB.,ALLOC, INDEMNISATIONS</v>
      </c>
      <c r="F642" s="60" t="e">
        <f>SUMIFS([49]mensuel_section_article1!$E$3:$E$962,[49]mensuel_section_article1!$B$3:$B$962,C642,[49]mensuel_section_article1!$C$3:$C$962,D642)</f>
        <v>#VALUE!</v>
      </c>
      <c r="G642" s="60" t="e">
        <f>SUMIFS([49]mensuel_section_article1!$G$3:$G$962,[49]mensuel_section_article1!$B$3:$B$962,C642,[49]mensuel_section_article1!$C$3:$C$962,D642)</f>
        <v>#VALUE!</v>
      </c>
      <c r="H642" s="60">
        <v>2280281</v>
      </c>
      <c r="I642" s="60">
        <v>2280281</v>
      </c>
      <c r="J642" s="60">
        <v>775000</v>
      </c>
      <c r="K642" s="60">
        <f t="shared" si="356"/>
        <v>1505281</v>
      </c>
      <c r="L642" s="61">
        <f t="shared" ref="L642:L648" si="359">+J642/H642</f>
        <v>0.33987039316645623</v>
      </c>
      <c r="M642" s="60"/>
      <c r="N642" s="24"/>
      <c r="O642" s="9"/>
      <c r="Q642" s="63"/>
      <c r="AK642" s="64"/>
      <c r="AL642" s="64"/>
      <c r="AM642" s="64"/>
      <c r="AN642" s="64"/>
      <c r="AO642" s="11">
        <v>1313111</v>
      </c>
      <c r="AP642" s="65" t="str">
        <f t="shared" si="357"/>
        <v>13131117</v>
      </c>
    </row>
    <row r="643" spans="1:42" s="62" customFormat="1" ht="27.75" customHeight="1" thickTop="1" thickBot="1" x14ac:dyDescent="0.3">
      <c r="A643" s="56" t="s">
        <v>22</v>
      </c>
      <c r="B643" s="56" t="s">
        <v>22</v>
      </c>
      <c r="C643" s="57">
        <f t="shared" si="354"/>
        <v>1313111</v>
      </c>
      <c r="D643" s="58">
        <v>9</v>
      </c>
      <c r="E643" s="59" t="str">
        <f t="shared" si="355"/>
        <v>AUTRES DEPENSES PUBLIQUES</v>
      </c>
      <c r="F643" s="60" t="e">
        <f>SUMIFS([49]mensuel_section_article1!$E$3:$E$962,[49]mensuel_section_article1!$B$3:$B$962,C643,[49]mensuel_section_article1!$C$3:$C$962,D643)</f>
        <v>#VALUE!</v>
      </c>
      <c r="G643" s="60" t="e">
        <f>SUMIFS([49]mensuel_section_article1!$G$3:$G$962,[49]mensuel_section_article1!$B$3:$B$962,C643,[49]mensuel_section_article1!$C$3:$C$962,D643)</f>
        <v>#VALUE!</v>
      </c>
      <c r="H643" s="60">
        <v>30000000</v>
      </c>
      <c r="I643" s="60">
        <v>5998081</v>
      </c>
      <c r="J643" s="60">
        <v>5998080</v>
      </c>
      <c r="K643" s="60">
        <f t="shared" si="356"/>
        <v>24001920</v>
      </c>
      <c r="L643" s="61">
        <f t="shared" si="359"/>
        <v>0.199936</v>
      </c>
      <c r="M643" s="60"/>
      <c r="N643" s="24"/>
      <c r="O643" s="9"/>
      <c r="Q643" s="66"/>
      <c r="AK643" s="64"/>
      <c r="AL643" s="64"/>
      <c r="AM643" s="64"/>
      <c r="AN643" s="64"/>
      <c r="AO643" s="11">
        <v>1313111</v>
      </c>
      <c r="AP643" s="65" t="str">
        <f t="shared" si="357"/>
        <v>13131119</v>
      </c>
    </row>
    <row r="644" spans="1:42" s="1" customFormat="1" ht="27.75" customHeight="1" thickTop="1" thickBot="1" x14ac:dyDescent="0.3">
      <c r="A644" s="50" t="s">
        <v>20</v>
      </c>
      <c r="B644" s="50" t="s">
        <v>20</v>
      </c>
      <c r="C644" s="50" t="s">
        <v>20</v>
      </c>
      <c r="D644" s="51">
        <v>1313112</v>
      </c>
      <c r="E644" s="67" t="s">
        <v>23</v>
      </c>
      <c r="F644" s="68" t="e">
        <f>SUMIF($B$645:$B$651,"article",F645:F651)</f>
        <v>#VALUE!</v>
      </c>
      <c r="G644" s="68" t="e">
        <f>SUMIF($B$645:$B$651,"article",G645:G651)</f>
        <v>#VALUE!</v>
      </c>
      <c r="H644" s="68">
        <f>SUMIF($B$645:$B$651,"article",H645:H651)</f>
        <v>4994780598.8599997</v>
      </c>
      <c r="I644" s="68">
        <v>4924505078.8700018</v>
      </c>
      <c r="J644" s="68">
        <f>SUMIF($B$645:$B$651,"article",J645:J651)</f>
        <v>4870327930.5299997</v>
      </c>
      <c r="K644" s="68">
        <f>SUMIF($B$645:$B$651,"article",K645:K651)</f>
        <v>124452668.33000088</v>
      </c>
      <c r="L644" s="69">
        <f t="shared" si="359"/>
        <v>0.97508345644683481</v>
      </c>
      <c r="M644" s="68"/>
      <c r="N644" s="68"/>
      <c r="O644" s="9"/>
      <c r="Q644" s="23"/>
      <c r="AK644" s="70"/>
      <c r="AL644" s="70"/>
      <c r="AM644" s="70"/>
      <c r="AN644" s="70"/>
      <c r="AO644" s="11">
        <v>1313112</v>
      </c>
    </row>
    <row r="645" spans="1:42" s="62" customFormat="1" ht="27.75" customHeight="1" thickTop="1" thickBot="1" x14ac:dyDescent="0.3">
      <c r="A645" s="56" t="s">
        <v>22</v>
      </c>
      <c r="B645" s="56" t="s">
        <v>22</v>
      </c>
      <c r="C645" s="57">
        <f t="shared" ref="C645:C651" si="360">IF(A644="SECTION",D644,C644)</f>
        <v>1313112</v>
      </c>
      <c r="D645" s="58">
        <v>1</v>
      </c>
      <c r="E645" s="59" t="str">
        <f t="shared" ref="E645:E651" si="361">IF(D645=1, "DEPENSES DE PERSONNEL",  +IF(D645=2,"DEPENSES DE SERVICES ET CHARGES DIVERSES", +IF(D645=3,"ACHATS DE BIENS DE CONSOMMATION ET PETITS MATERIELS",+IF(D645=4,"IMMOBILISATION CORPORELLE",+IF(D645=5,"IMMOBILISATION INCORPORELLE",+IF(D645=7,"SUBVENTIONS,QUOTES-PARTS ET CONTRIB.,ALLOC, INDEMNISATIONS",+IF(D645=8,"AMORTISSEMENT DE LA DETTE",+IF(D645=9,"AUTRES DEPENSES PUBLIQUES",0))))))))</f>
        <v>DEPENSES DE PERSONNEL</v>
      </c>
      <c r="F645" s="60" t="e">
        <f>SUMIFS([49]mensuel_section_article1!$E$3:$E$962,[49]mensuel_section_article1!$B$3:$B$962,C645,[49]mensuel_section_article1!$C$3:$C$962,D645)</f>
        <v>#VALUE!</v>
      </c>
      <c r="G645" s="60" t="e">
        <f>SUMIFS([49]mensuel_section_article1!$G$3:$G$962,[49]mensuel_section_article1!$B$3:$B$962,C645,[49]mensuel_section_article1!$C$3:$C$962,D645)</f>
        <v>#VALUE!</v>
      </c>
      <c r="H645" s="60">
        <v>4319806194.5200005</v>
      </c>
      <c r="I645" s="60">
        <v>4222236464.4900017</v>
      </c>
      <c r="J645" s="60">
        <v>4191736068.9999995</v>
      </c>
      <c r="K645" s="60">
        <f t="shared" ref="K645:K651" si="362">+H645-J645</f>
        <v>128070125.52000093</v>
      </c>
      <c r="L645" s="61">
        <f t="shared" si="359"/>
        <v>0.97035280756750908</v>
      </c>
      <c r="M645" s="60"/>
      <c r="N645" s="24"/>
      <c r="O645" s="9"/>
      <c r="Q645" s="63"/>
      <c r="AK645" s="64"/>
      <c r="AL645" s="64"/>
      <c r="AM645" s="64"/>
      <c r="AN645" s="64"/>
      <c r="AO645" s="11">
        <v>1313112</v>
      </c>
      <c r="AP645" s="65" t="str">
        <f t="shared" ref="AP645:AP651" si="363">CONCATENATE(AO645,D645)</f>
        <v>13131121</v>
      </c>
    </row>
    <row r="646" spans="1:42" s="62" customFormat="1" ht="27.75" customHeight="1" thickTop="1" thickBot="1" x14ac:dyDescent="0.3">
      <c r="A646" s="56" t="s">
        <v>22</v>
      </c>
      <c r="B646" s="56" t="s">
        <v>22</v>
      </c>
      <c r="C646" s="57">
        <f t="shared" si="360"/>
        <v>1313112</v>
      </c>
      <c r="D646" s="58">
        <v>2</v>
      </c>
      <c r="E646" s="59" t="str">
        <f t="shared" si="361"/>
        <v>DEPENSES DE SERVICES ET CHARGES DIVERSES</v>
      </c>
      <c r="F646" s="60" t="e">
        <f>SUMIFS([49]mensuel_section_article1!$E$3:$E$962,[49]mensuel_section_article1!$B$3:$B$962,C646,[49]mensuel_section_article1!$C$3:$C$962,D646)</f>
        <v>#VALUE!</v>
      </c>
      <c r="G646" s="60" t="e">
        <f>SUMIFS([49]mensuel_section_article1!$G$3:$G$962,[49]mensuel_section_article1!$B$3:$B$962,C646,[49]mensuel_section_article1!$C$3:$C$962,D646)</f>
        <v>#VALUE!</v>
      </c>
      <c r="H646" s="60">
        <v>238182633.241</v>
      </c>
      <c r="I646" s="60">
        <v>82878068.709999993</v>
      </c>
      <c r="J646" s="60">
        <v>82734776.159999996</v>
      </c>
      <c r="K646" s="60">
        <f t="shared" si="362"/>
        <v>155447857.081</v>
      </c>
      <c r="L646" s="61">
        <f t="shared" si="359"/>
        <v>0.3473585585741954</v>
      </c>
      <c r="M646" s="60"/>
      <c r="N646" s="24"/>
      <c r="O646" s="9"/>
      <c r="Q646" s="63"/>
      <c r="AK646" s="64"/>
      <c r="AL646" s="64"/>
      <c r="AM646" s="64"/>
      <c r="AN646" s="64"/>
      <c r="AO646" s="11">
        <v>1313112</v>
      </c>
      <c r="AP646" s="65" t="str">
        <f t="shared" si="363"/>
        <v>13131122</v>
      </c>
    </row>
    <row r="647" spans="1:42" s="62" customFormat="1" ht="27.75" customHeight="1" thickTop="1" thickBot="1" x14ac:dyDescent="0.3">
      <c r="A647" s="56" t="s">
        <v>22</v>
      </c>
      <c r="B647" s="56" t="s">
        <v>22</v>
      </c>
      <c r="C647" s="57">
        <f t="shared" si="360"/>
        <v>1313112</v>
      </c>
      <c r="D647" s="58">
        <v>3</v>
      </c>
      <c r="E647" s="59" t="str">
        <f t="shared" si="361"/>
        <v>ACHATS DE BIENS DE CONSOMMATION ET PETITS MATERIELS</v>
      </c>
      <c r="F647" s="60" t="e">
        <f>SUMIFS([49]mensuel_section_article1!$E$3:$E$962,[49]mensuel_section_article1!$B$3:$B$962,C647,[49]mensuel_section_article1!$C$3:$C$962,D647)</f>
        <v>#VALUE!</v>
      </c>
      <c r="G647" s="60" t="e">
        <f>SUMIFS([49]mensuel_section_article1!$G$3:$G$962,[49]mensuel_section_article1!$B$3:$B$962,C647,[49]mensuel_section_article1!$C$3:$C$962,D647)</f>
        <v>#VALUE!</v>
      </c>
      <c r="H647" s="60">
        <v>316513359.36000001</v>
      </c>
      <c r="I647" s="60">
        <v>525702780.87</v>
      </c>
      <c r="J647" s="60">
        <v>525369733.39000005</v>
      </c>
      <c r="K647" s="60">
        <f t="shared" si="362"/>
        <v>-208856374.03000003</v>
      </c>
      <c r="L647" s="61">
        <f t="shared" si="359"/>
        <v>1.6598659040879482</v>
      </c>
      <c r="M647" s="60"/>
      <c r="N647" s="24"/>
      <c r="O647" s="9"/>
      <c r="Q647" s="63"/>
      <c r="AK647" s="64"/>
      <c r="AL647" s="64"/>
      <c r="AM647" s="64"/>
      <c r="AN647" s="64"/>
      <c r="AO647" s="11">
        <v>1313112</v>
      </c>
      <c r="AP647" s="65" t="str">
        <f t="shared" si="363"/>
        <v>13131123</v>
      </c>
    </row>
    <row r="648" spans="1:42" s="62" customFormat="1" ht="27.75" customHeight="1" thickTop="1" thickBot="1" x14ac:dyDescent="0.3">
      <c r="A648" s="56" t="s">
        <v>22</v>
      </c>
      <c r="B648" s="56" t="s">
        <v>22</v>
      </c>
      <c r="C648" s="57">
        <f t="shared" si="360"/>
        <v>1313112</v>
      </c>
      <c r="D648" s="58">
        <v>4</v>
      </c>
      <c r="E648" s="59" t="str">
        <f t="shared" si="361"/>
        <v>IMMOBILISATION CORPORELLE</v>
      </c>
      <c r="F648" s="60" t="e">
        <f>SUMIFS([49]mensuel_section_article1!$E$3:$E$962,[49]mensuel_section_article1!$B$3:$B$962,C648,[49]mensuel_section_article1!$C$3:$C$962,D648)</f>
        <v>#VALUE!</v>
      </c>
      <c r="G648" s="60" t="e">
        <f>SUMIFS([49]mensuel_section_article1!$G$3:$G$962,[49]mensuel_section_article1!$B$3:$B$962,C648,[49]mensuel_section_article1!$C$3:$C$962,D648)</f>
        <v>#VALUE!</v>
      </c>
      <c r="H648" s="60">
        <v>57718412.089000002</v>
      </c>
      <c r="I648" s="60">
        <v>91755163.099999994</v>
      </c>
      <c r="J648" s="60">
        <v>69164151.590000004</v>
      </c>
      <c r="K648" s="60">
        <f t="shared" si="362"/>
        <v>-11445739.501000002</v>
      </c>
      <c r="L648" s="61">
        <f t="shared" si="359"/>
        <v>1.1983030905866057</v>
      </c>
      <c r="M648" s="60"/>
      <c r="N648" s="24"/>
      <c r="O648" s="9"/>
      <c r="Q648" s="63"/>
      <c r="AK648" s="64"/>
      <c r="AL648" s="64"/>
      <c r="AM648" s="64"/>
      <c r="AN648" s="64"/>
      <c r="AO648" s="11">
        <v>1313112</v>
      </c>
      <c r="AP648" s="65" t="str">
        <f t="shared" si="363"/>
        <v>13131124</v>
      </c>
    </row>
    <row r="649" spans="1:42" s="62" customFormat="1" ht="27.75" hidden="1" customHeight="1" thickTop="1" thickBot="1" x14ac:dyDescent="0.3">
      <c r="A649" s="56" t="s">
        <v>22</v>
      </c>
      <c r="B649" s="56" t="s">
        <v>22</v>
      </c>
      <c r="C649" s="57">
        <f t="shared" si="360"/>
        <v>1313112</v>
      </c>
      <c r="D649" s="58">
        <v>5</v>
      </c>
      <c r="E649" s="59" t="str">
        <f t="shared" si="361"/>
        <v>IMMOBILISATION INCORPORELLE</v>
      </c>
      <c r="F649" s="60" t="e">
        <f>SUMIFS([49]mensuel_section_article1!$E$3:$E$962,[49]mensuel_section_article1!$B$3:$B$962,C649,[49]mensuel_section_article1!$C$3:$C$962,D649)</f>
        <v>#VALUE!</v>
      </c>
      <c r="G649" s="60" t="e">
        <f>SUMIFS([49]mensuel_section_article1!$G$3:$G$962,[49]mensuel_section_article1!$B$3:$B$962,C649,[49]mensuel_section_article1!$C$3:$C$962,D649)</f>
        <v>#VALUE!</v>
      </c>
      <c r="H649" s="60">
        <v>0</v>
      </c>
      <c r="I649" s="60">
        <v>0</v>
      </c>
      <c r="J649" s="60">
        <v>0</v>
      </c>
      <c r="K649" s="60">
        <f t="shared" si="362"/>
        <v>0</v>
      </c>
      <c r="L649" s="61" t="e">
        <f>IF(F649&lt;&gt;0,K649/F649,0)</f>
        <v>#VALUE!</v>
      </c>
      <c r="M649" s="60" t="e">
        <f>+SUMIFS([51]section_article!$H$10:$H$936,[51]section_article!$C$10:$C$936,C649,[51]section_article!$D$10:$D$936,D649)</f>
        <v>#VALUE!</v>
      </c>
      <c r="N649" s="24" t="e">
        <f t="shared" ref="N645:N651" si="364">+J649-M649</f>
        <v>#VALUE!</v>
      </c>
      <c r="O649" s="9"/>
      <c r="Q649" s="63"/>
      <c r="AK649" s="64"/>
      <c r="AL649" s="64"/>
      <c r="AM649" s="64"/>
      <c r="AN649" s="64"/>
      <c r="AO649" s="11">
        <v>1313112</v>
      </c>
      <c r="AP649" s="65" t="str">
        <f t="shared" si="363"/>
        <v>13131125</v>
      </c>
    </row>
    <row r="650" spans="1:42" s="62" customFormat="1" ht="27.75" customHeight="1" thickTop="1" thickBot="1" x14ac:dyDescent="0.3">
      <c r="A650" s="56" t="s">
        <v>22</v>
      </c>
      <c r="B650" s="56" t="s">
        <v>22</v>
      </c>
      <c r="C650" s="57">
        <f t="shared" si="360"/>
        <v>1313112</v>
      </c>
      <c r="D650" s="58">
        <v>7</v>
      </c>
      <c r="E650" s="59" t="str">
        <f t="shared" si="361"/>
        <v>SUBVENTIONS,QUOTES-PARTS ET CONTRIB.,ALLOC, INDEMNISATIONS</v>
      </c>
      <c r="F650" s="60" t="e">
        <f>SUMIFS([49]mensuel_section_article1!$E$3:$E$962,[49]mensuel_section_article1!$B$3:$B$962,C650,[49]mensuel_section_article1!$C$3:$C$962,D650)</f>
        <v>#VALUE!</v>
      </c>
      <c r="G650" s="60" t="e">
        <f>SUMIFS([49]mensuel_section_article1!$G$3:$G$962,[49]mensuel_section_article1!$B$3:$B$962,C650,[49]mensuel_section_article1!$C$3:$C$962,D650)</f>
        <v>#VALUE!</v>
      </c>
      <c r="H650" s="60">
        <v>1464999.9640000002</v>
      </c>
      <c r="I650" s="60">
        <v>1465000</v>
      </c>
      <c r="J650" s="60">
        <v>855605</v>
      </c>
      <c r="K650" s="60">
        <f t="shared" si="362"/>
        <v>609394.96400000015</v>
      </c>
      <c r="L650" s="61">
        <f t="shared" ref="L650:L660" si="365">+J650/H650</f>
        <v>0.58403073107515779</v>
      </c>
      <c r="M650" s="60"/>
      <c r="N650" s="24"/>
      <c r="O650" s="9"/>
      <c r="Q650" s="63"/>
      <c r="AK650" s="64"/>
      <c r="AL650" s="64"/>
      <c r="AM650" s="64"/>
      <c r="AN650" s="64"/>
      <c r="AO650" s="11">
        <v>1313112</v>
      </c>
      <c r="AP650" s="65" t="str">
        <f t="shared" si="363"/>
        <v>13131127</v>
      </c>
    </row>
    <row r="651" spans="1:42" s="62" customFormat="1" ht="27.75" customHeight="1" thickTop="1" thickBot="1" x14ac:dyDescent="0.3">
      <c r="A651" s="56" t="s">
        <v>22</v>
      </c>
      <c r="B651" s="56" t="s">
        <v>22</v>
      </c>
      <c r="C651" s="57">
        <f t="shared" si="360"/>
        <v>1313112</v>
      </c>
      <c r="D651" s="58">
        <v>9</v>
      </c>
      <c r="E651" s="59" t="str">
        <f t="shared" si="361"/>
        <v>AUTRES DEPENSES PUBLIQUES</v>
      </c>
      <c r="F651" s="60" t="e">
        <f>SUMIFS([49]mensuel_section_article1!$E$3:$E$962,[49]mensuel_section_article1!$B$3:$B$962,C651,[49]mensuel_section_article1!$C$3:$C$962,D651)</f>
        <v>#VALUE!</v>
      </c>
      <c r="G651" s="60" t="e">
        <f>SUMIFS([49]mensuel_section_article1!$G$3:$G$962,[49]mensuel_section_article1!$B$3:$B$962,C651,[49]mensuel_section_article1!$C$3:$C$962,D651)</f>
        <v>#VALUE!</v>
      </c>
      <c r="H651" s="60">
        <v>61094999.686000004</v>
      </c>
      <c r="I651" s="60">
        <v>467601.69999999995</v>
      </c>
      <c r="J651" s="60">
        <v>467595.39</v>
      </c>
      <c r="K651" s="60">
        <f t="shared" si="362"/>
        <v>60627404.296000004</v>
      </c>
      <c r="L651" s="61">
        <f t="shared" si="365"/>
        <v>7.6535787282629303E-3</v>
      </c>
      <c r="M651" s="60"/>
      <c r="N651" s="24"/>
      <c r="O651" s="9"/>
      <c r="Q651" s="63"/>
      <c r="AK651" s="64"/>
      <c r="AL651" s="64"/>
      <c r="AM651" s="64"/>
      <c r="AN651" s="64"/>
      <c r="AO651" s="11">
        <v>1313112</v>
      </c>
      <c r="AP651" s="65" t="str">
        <f t="shared" si="363"/>
        <v>13131129</v>
      </c>
    </row>
    <row r="652" spans="1:42" s="1" customFormat="1" ht="27.75" customHeight="1" thickTop="1" thickBot="1" x14ac:dyDescent="0.3">
      <c r="A652" s="50" t="s">
        <v>20</v>
      </c>
      <c r="B652" s="50" t="s">
        <v>20</v>
      </c>
      <c r="C652" s="50" t="s">
        <v>20</v>
      </c>
      <c r="D652" s="51">
        <v>1313114</v>
      </c>
      <c r="E652" s="67" t="s">
        <v>106</v>
      </c>
      <c r="F652" s="68" t="e">
        <f>SUMIF($B$653:$B$653,"article",F653:F653)</f>
        <v>#VALUE!</v>
      </c>
      <c r="G652" s="68" t="e">
        <f>SUMIF($B$653:$B$653,"article",G653:G653)</f>
        <v>#VALUE!</v>
      </c>
      <c r="H652" s="68">
        <f>SUMIF($B$653:$B$653,"article",H653:H653)</f>
        <v>2399987.9959999998</v>
      </c>
      <c r="I652" s="68">
        <v>2399988</v>
      </c>
      <c r="J652" s="68">
        <f>SUMIF($B$653:$B$653,"article",J653:J653)</f>
        <v>0</v>
      </c>
      <c r="K652" s="68">
        <f>SUMIF($B$653:$B$653,"article",K653:K653)</f>
        <v>2399987.9959999998</v>
      </c>
      <c r="L652" s="69">
        <f t="shared" si="365"/>
        <v>0</v>
      </c>
      <c r="M652" s="68"/>
      <c r="N652" s="68"/>
      <c r="O652" s="9"/>
      <c r="Q652" s="23"/>
      <c r="AK652" s="70"/>
      <c r="AL652" s="70"/>
      <c r="AM652" s="70"/>
      <c r="AN652" s="70"/>
      <c r="AO652" s="11">
        <v>1313114</v>
      </c>
    </row>
    <row r="653" spans="1:42" s="62" customFormat="1" ht="27.75" customHeight="1" thickTop="1" thickBot="1" x14ac:dyDescent="0.3">
      <c r="A653" s="56" t="s">
        <v>22</v>
      </c>
      <c r="B653" s="56" t="s">
        <v>22</v>
      </c>
      <c r="C653" s="57">
        <f>IF(A652="SECTION",D652,C652)</f>
        <v>1313114</v>
      </c>
      <c r="D653" s="58">
        <v>7</v>
      </c>
      <c r="E653" s="59" t="str">
        <f>IF(D653=1, "DEPENSES DE PERSONNEL",  +IF(D653=2,"DEPENSES DE SERVICES ET CHARGES DIVERSES", +IF(D653=3,"ACHATS DE BIENS DE CONSOMMATION ET PETITS MATERIELS",+IF(D653=4,"IMMOBILISATION CORPORELLE",+IF(D653=5,"IMMOBILISATION INCORPORELLE",+IF(D653=7,"SUBVENTIONS,QUOTES-PARTS ET CONTRIB.,ALLOC, INDEMNISATIONS",+IF(D653=8,"AMORTISSEMENT DE LA DETTE",+IF(D653=9,"AUTRES DEPENSES PUBLIQUES",0))))))))</f>
        <v>SUBVENTIONS,QUOTES-PARTS ET CONTRIB.,ALLOC, INDEMNISATIONS</v>
      </c>
      <c r="F653" s="60" t="e">
        <f>SUMIFS([49]mensuel_section_article1!$E$3:$E$962,[49]mensuel_section_article1!$B$3:$B$962,C653,[49]mensuel_section_article1!$C$3:$C$962,D653)</f>
        <v>#VALUE!</v>
      </c>
      <c r="G653" s="60" t="e">
        <f>SUMIFS([49]mensuel_section_article1!$G$3:$G$962,[49]mensuel_section_article1!$B$3:$B$962,C653,[49]mensuel_section_article1!$C$3:$C$962,D653)</f>
        <v>#VALUE!</v>
      </c>
      <c r="H653" s="60">
        <v>2399987.9959999998</v>
      </c>
      <c r="I653" s="60">
        <v>2399988</v>
      </c>
      <c r="J653" s="60">
        <v>0</v>
      </c>
      <c r="K653" s="60">
        <f>+H653-J653</f>
        <v>2399987.9959999998</v>
      </c>
      <c r="L653" s="61">
        <f t="shared" si="365"/>
        <v>0</v>
      </c>
      <c r="M653" s="60"/>
      <c r="N653" s="24"/>
      <c r="O653" s="9"/>
      <c r="Q653" s="63"/>
      <c r="AK653" s="64"/>
      <c r="AL653" s="64"/>
      <c r="AM653" s="64"/>
      <c r="AN653" s="64"/>
      <c r="AO653" s="11">
        <v>1313114</v>
      </c>
      <c r="AP653" s="65" t="str">
        <f>CONCATENATE(AO653,D653)</f>
        <v>13131147</v>
      </c>
    </row>
    <row r="654" spans="1:42" s="1" customFormat="1" ht="27.75" customHeight="1" thickTop="1" x14ac:dyDescent="0.25">
      <c r="A654" s="37" t="s">
        <v>16</v>
      </c>
      <c r="B654" s="37" t="s">
        <v>16</v>
      </c>
      <c r="C654" s="37" t="s">
        <v>16</v>
      </c>
      <c r="D654" s="73">
        <v>1314</v>
      </c>
      <c r="E654" s="74" t="s">
        <v>107</v>
      </c>
      <c r="F654" s="75" t="e">
        <f>SUMIF($B$655:$B$671,"chap",F655:F671)</f>
        <v>#VALUE!</v>
      </c>
      <c r="G654" s="75" t="e">
        <f>SUMIF($B$655:$B$671,"chap",G655:G671)</f>
        <v>#VALUE!</v>
      </c>
      <c r="H654" s="75">
        <f>SUMIF($B$655:$B$671,"chap",H655:H671)</f>
        <v>193203101.14190003</v>
      </c>
      <c r="I654" s="75">
        <v>193203101.19999996</v>
      </c>
      <c r="J654" s="75">
        <f>SUMIF($B$655:$B$671,"chap",J655:J671)</f>
        <v>192965002.55000001</v>
      </c>
      <c r="K654" s="75">
        <f>SUMIF($B$655:$B$671,"chap",K655:K671)</f>
        <v>238098.59190002456</v>
      </c>
      <c r="L654" s="76">
        <f t="shared" si="365"/>
        <v>0.99876762541339781</v>
      </c>
      <c r="M654" s="75"/>
      <c r="N654" s="75"/>
      <c r="O654" s="9"/>
      <c r="Q654" s="23"/>
      <c r="AK654" s="77"/>
      <c r="AL654" s="77"/>
      <c r="AM654" s="77"/>
      <c r="AN654" s="77"/>
      <c r="AO654" s="11"/>
    </row>
    <row r="655" spans="1:42" s="49" customFormat="1" ht="27.75" customHeight="1" x14ac:dyDescent="0.25">
      <c r="A655" s="43" t="s">
        <v>19</v>
      </c>
      <c r="B655" s="43" t="s">
        <v>19</v>
      </c>
      <c r="C655" s="43" t="s">
        <v>19</v>
      </c>
      <c r="D655" s="44">
        <v>13141</v>
      </c>
      <c r="E655" s="45" t="str">
        <f>VLOOKUP(D655,[49]INST!$A$1:$B$626,2,FALSE)</f>
        <v>SERVICES INTERNES</v>
      </c>
      <c r="F655" s="46" t="e">
        <f>SUMIF($B$656:$B$671,"section",F656:F671)</f>
        <v>#VALUE!</v>
      </c>
      <c r="G655" s="46" t="e">
        <f>SUMIF($B$656:$B$671,"section",G656:G671)</f>
        <v>#VALUE!</v>
      </c>
      <c r="H655" s="46">
        <f>SUMIF($B$656:$B$671,"section",H656:H671)</f>
        <v>193203101.14190003</v>
      </c>
      <c r="I655" s="46">
        <v>193203101.19999996</v>
      </c>
      <c r="J655" s="46">
        <f>SUMIF($B$656:$B$671,"section",J656:J671)</f>
        <v>192965002.55000001</v>
      </c>
      <c r="K655" s="46">
        <f>SUMIF($B$656:$B$671,"section",K656:K671)</f>
        <v>238098.59190002456</v>
      </c>
      <c r="L655" s="47">
        <f t="shared" si="365"/>
        <v>0.99876762541339781</v>
      </c>
      <c r="M655" s="46"/>
      <c r="N655" s="46"/>
      <c r="O655" s="48"/>
      <c r="AO655" s="11"/>
    </row>
    <row r="656" spans="1:42" s="1" customFormat="1" ht="27.75" customHeight="1" thickBot="1" x14ac:dyDescent="0.3">
      <c r="A656" s="50" t="s">
        <v>20</v>
      </c>
      <c r="B656" s="50" t="s">
        <v>20</v>
      </c>
      <c r="C656" s="50" t="s">
        <v>20</v>
      </c>
      <c r="D656" s="51">
        <v>1314111</v>
      </c>
      <c r="E656" s="67" t="s">
        <v>21</v>
      </c>
      <c r="F656" s="68" t="e">
        <f>SUMIF($B$657:$B$663,"article",F657:F663)</f>
        <v>#VALUE!</v>
      </c>
      <c r="G656" s="68" t="e">
        <f>SUMIF($B$657:$B$663,"article",G657:G663)</f>
        <v>#VALUE!</v>
      </c>
      <c r="H656" s="68">
        <f>SUMIF($B$657:$B$663,"article",H657:H663)</f>
        <v>46192491.074000001</v>
      </c>
      <c r="I656" s="68">
        <v>37811291.109999992</v>
      </c>
      <c r="J656" s="68">
        <f>SUMIF($B$657:$B$663,"article",J657:J663)</f>
        <v>37713964.530000001</v>
      </c>
      <c r="K656" s="68">
        <f>SUMIF($B$657:$B$663,"article",K657:K663)</f>
        <v>8478526.543999996</v>
      </c>
      <c r="L656" s="69">
        <f t="shared" si="365"/>
        <v>0.81645227726693781</v>
      </c>
      <c r="M656" s="68"/>
      <c r="N656" s="68"/>
      <c r="O656" s="9"/>
      <c r="Q656" s="23"/>
      <c r="AK656" s="70"/>
      <c r="AL656" s="70"/>
      <c r="AM656" s="70"/>
      <c r="AN656" s="70"/>
      <c r="AO656" s="11">
        <v>1314111</v>
      </c>
    </row>
    <row r="657" spans="1:42" s="62" customFormat="1" ht="27.75" customHeight="1" thickTop="1" thickBot="1" x14ac:dyDescent="0.3">
      <c r="A657" s="56" t="s">
        <v>22</v>
      </c>
      <c r="B657" s="56" t="s">
        <v>22</v>
      </c>
      <c r="C657" s="57">
        <f t="shared" ref="C657:C663" si="366">IF(A656="SECTION",D656,C656)</f>
        <v>1314111</v>
      </c>
      <c r="D657" s="58">
        <v>1</v>
      </c>
      <c r="E657" s="59" t="str">
        <f t="shared" ref="E657:E663" si="367">IF(D657=1, "DEPENSES DE PERSONNEL",  +IF(D657=2,"DEPENSES DE SERVICES ET CHARGES DIVERSES", +IF(D657=3,"ACHATS DE BIENS DE CONSOMMATION ET PETITS MATERIELS",+IF(D657=4,"IMMOBILISATION CORPORELLE",+IF(D657=5,"IMMOBILISATION INCORPORELLE",+IF(D657=7,"SUBVENTIONS,QUOTES-PARTS ET CONTRIB.,ALLOC, INDEMNISATIONS",+IF(D657=8,"AMORTISSEMENT DE LA DETTE",+IF(D657=9,"AUTRES DEPENSES PUBLIQUES",0))))))))</f>
        <v>DEPENSES DE PERSONNEL</v>
      </c>
      <c r="F657" s="60" t="e">
        <f>SUMIFS([49]mensuel_section_article1!$E$3:$E$962,[49]mensuel_section_article1!$B$3:$B$962,C657,[49]mensuel_section_article1!$C$3:$C$962,D657)</f>
        <v>#VALUE!</v>
      </c>
      <c r="G657" s="60" t="e">
        <f>SUMIFS([49]mensuel_section_article1!$G$3:$G$962,[49]mensuel_section_article1!$B$3:$B$962,C657,[49]mensuel_section_article1!$C$3:$C$962,D657)</f>
        <v>#VALUE!</v>
      </c>
      <c r="H657" s="60">
        <v>38521591.299999997</v>
      </c>
      <c r="I657" s="60">
        <v>31413789.279999997</v>
      </c>
      <c r="J657" s="60">
        <v>31413436.73</v>
      </c>
      <c r="K657" s="60">
        <f t="shared" ref="K657:K663" si="368">+H657-J657</f>
        <v>7108154.5699999966</v>
      </c>
      <c r="L657" s="61">
        <f t="shared" si="365"/>
        <v>0.81547609197546322</v>
      </c>
      <c r="M657" s="60"/>
      <c r="N657" s="24"/>
      <c r="O657" s="9"/>
      <c r="Q657" s="63"/>
      <c r="AK657" s="64"/>
      <c r="AL657" s="64"/>
      <c r="AM657" s="64"/>
      <c r="AN657" s="64"/>
      <c r="AO657" s="11">
        <v>1314111</v>
      </c>
      <c r="AP657" s="65" t="str">
        <f t="shared" ref="AP657:AP663" si="369">CONCATENATE(AO657,D657)</f>
        <v>13141111</v>
      </c>
    </row>
    <row r="658" spans="1:42" s="62" customFormat="1" ht="27.75" customHeight="1" thickTop="1" thickBot="1" x14ac:dyDescent="0.3">
      <c r="A658" s="56" t="s">
        <v>22</v>
      </c>
      <c r="B658" s="56" t="s">
        <v>22</v>
      </c>
      <c r="C658" s="57">
        <f t="shared" si="366"/>
        <v>1314111</v>
      </c>
      <c r="D658" s="58">
        <v>2</v>
      </c>
      <c r="E658" s="59" t="str">
        <f t="shared" si="367"/>
        <v>DEPENSES DE SERVICES ET CHARGES DIVERSES</v>
      </c>
      <c r="F658" s="60" t="e">
        <f>SUMIFS([49]mensuel_section_article1!$E$3:$E$962,[49]mensuel_section_article1!$B$3:$B$962,C658,[49]mensuel_section_article1!$C$3:$C$962,D658)</f>
        <v>#VALUE!</v>
      </c>
      <c r="G658" s="60" t="e">
        <f>SUMIFS([49]mensuel_section_article1!$G$3:$G$962,[49]mensuel_section_article1!$B$3:$B$962,C658,[49]mensuel_section_article1!$C$3:$C$962,D658)</f>
        <v>#VALUE!</v>
      </c>
      <c r="H658" s="60">
        <v>650000.16999999993</v>
      </c>
      <c r="I658" s="60">
        <v>680722.21</v>
      </c>
      <c r="J658" s="60">
        <v>680721.79999999993</v>
      </c>
      <c r="K658" s="60">
        <f t="shared" si="368"/>
        <v>-30721.630000000005</v>
      </c>
      <c r="L658" s="61">
        <f t="shared" si="365"/>
        <v>1.0472640337924835</v>
      </c>
      <c r="M658" s="60"/>
      <c r="N658" s="24"/>
      <c r="O658" s="9"/>
      <c r="Q658" s="63"/>
      <c r="AK658" s="64"/>
      <c r="AL658" s="64"/>
      <c r="AM658" s="64"/>
      <c r="AN658" s="64"/>
      <c r="AO658" s="11">
        <v>1314111</v>
      </c>
      <c r="AP658" s="65" t="str">
        <f t="shared" si="369"/>
        <v>13141112</v>
      </c>
    </row>
    <row r="659" spans="1:42" s="62" customFormat="1" ht="27.75" customHeight="1" thickTop="1" thickBot="1" x14ac:dyDescent="0.3">
      <c r="A659" s="56" t="s">
        <v>22</v>
      </c>
      <c r="B659" s="56" t="s">
        <v>22</v>
      </c>
      <c r="C659" s="57">
        <f t="shared" si="366"/>
        <v>1314111</v>
      </c>
      <c r="D659" s="58">
        <v>3</v>
      </c>
      <c r="E659" s="59" t="str">
        <f t="shared" si="367"/>
        <v>ACHATS DE BIENS DE CONSOMMATION ET PETITS MATERIELS</v>
      </c>
      <c r="F659" s="60" t="e">
        <f>SUMIFS([49]mensuel_section_article1!$E$3:$E$962,[49]mensuel_section_article1!$B$3:$B$962,C659,[49]mensuel_section_article1!$C$3:$C$962,D659)</f>
        <v>#VALUE!</v>
      </c>
      <c r="G659" s="60" t="e">
        <f>SUMIFS([49]mensuel_section_article1!$G$3:$G$962,[49]mensuel_section_article1!$B$3:$B$962,C659,[49]mensuel_section_article1!$C$3:$C$962,D659)</f>
        <v>#VALUE!</v>
      </c>
      <c r="H659" s="60">
        <v>2465531.6040000003</v>
      </c>
      <c r="I659" s="60">
        <v>2349354.6</v>
      </c>
      <c r="J659" s="60">
        <v>2349350</v>
      </c>
      <c r="K659" s="60">
        <f t="shared" si="368"/>
        <v>116181.60400000028</v>
      </c>
      <c r="L659" s="61">
        <f t="shared" si="365"/>
        <v>0.95287766589099454</v>
      </c>
      <c r="M659" s="60"/>
      <c r="N659" s="24"/>
      <c r="O659" s="9"/>
      <c r="Q659" s="63"/>
      <c r="AK659" s="64"/>
      <c r="AL659" s="64"/>
      <c r="AM659" s="64"/>
      <c r="AN659" s="64"/>
      <c r="AO659" s="11">
        <v>1314111</v>
      </c>
      <c r="AP659" s="65" t="str">
        <f t="shared" si="369"/>
        <v>13141113</v>
      </c>
    </row>
    <row r="660" spans="1:42" s="62" customFormat="1" ht="27.75" customHeight="1" thickTop="1" thickBot="1" x14ac:dyDescent="0.3">
      <c r="A660" s="56" t="s">
        <v>22</v>
      </c>
      <c r="B660" s="56" t="s">
        <v>22</v>
      </c>
      <c r="C660" s="57">
        <f t="shared" si="366"/>
        <v>1314111</v>
      </c>
      <c r="D660" s="58">
        <v>4</v>
      </c>
      <c r="E660" s="59" t="str">
        <f t="shared" si="367"/>
        <v>IMMOBILISATION CORPORELLE</v>
      </c>
      <c r="F660" s="60" t="e">
        <f>SUMIFS([49]mensuel_section_article1!$E$3:$E$962,[49]mensuel_section_article1!$B$3:$B$962,C660,[49]mensuel_section_article1!$C$3:$C$962,D660)</f>
        <v>#VALUE!</v>
      </c>
      <c r="G660" s="60" t="e">
        <f>SUMIFS([49]mensuel_section_article1!$G$3:$G$962,[49]mensuel_section_article1!$B$3:$B$962,C660,[49]mensuel_section_article1!$C$3:$C$962,D660)</f>
        <v>#VALUE!</v>
      </c>
      <c r="H660" s="60">
        <v>1206120</v>
      </c>
      <c r="I660" s="60">
        <v>1412525.01</v>
      </c>
      <c r="J660" s="60">
        <v>1315556</v>
      </c>
      <c r="K660" s="60">
        <f t="shared" si="368"/>
        <v>-109436</v>
      </c>
      <c r="L660" s="61">
        <f t="shared" si="365"/>
        <v>1.090733923656021</v>
      </c>
      <c r="M660" s="60"/>
      <c r="N660" s="24"/>
      <c r="O660" s="9"/>
      <c r="Q660" s="63"/>
      <c r="AK660" s="64"/>
      <c r="AL660" s="64"/>
      <c r="AM660" s="64"/>
      <c r="AN660" s="64"/>
      <c r="AO660" s="11">
        <v>1314111</v>
      </c>
      <c r="AP660" s="65" t="str">
        <f t="shared" si="369"/>
        <v>13141114</v>
      </c>
    </row>
    <row r="661" spans="1:42" s="62" customFormat="1" ht="27.75" hidden="1" customHeight="1" thickTop="1" thickBot="1" x14ac:dyDescent="0.3">
      <c r="A661" s="56" t="s">
        <v>22</v>
      </c>
      <c r="B661" s="56" t="s">
        <v>22</v>
      </c>
      <c r="C661" s="57">
        <f t="shared" si="366"/>
        <v>1314111</v>
      </c>
      <c r="D661" s="58">
        <v>5</v>
      </c>
      <c r="E661" s="59" t="str">
        <f t="shared" si="367"/>
        <v>IMMOBILISATION INCORPORELLE</v>
      </c>
      <c r="F661" s="60" t="e">
        <f>SUMIFS([49]mensuel_section_article1!$E$3:$E$962,[49]mensuel_section_article1!$B$3:$B$962,C661,[49]mensuel_section_article1!$C$3:$C$962,D661)</f>
        <v>#VALUE!</v>
      </c>
      <c r="G661" s="60" t="e">
        <f>SUMIFS([49]mensuel_section_article1!$G$3:$G$962,[49]mensuel_section_article1!$B$3:$B$962,C661,[49]mensuel_section_article1!$C$3:$C$962,D661)</f>
        <v>#VALUE!</v>
      </c>
      <c r="H661" s="60">
        <v>0</v>
      </c>
      <c r="I661" s="60">
        <v>0</v>
      </c>
      <c r="J661" s="60">
        <v>0</v>
      </c>
      <c r="K661" s="60">
        <f t="shared" si="368"/>
        <v>0</v>
      </c>
      <c r="L661" s="61" t="e">
        <f>IF(F661&lt;&gt;0,K661/F661,0)</f>
        <v>#VALUE!</v>
      </c>
      <c r="M661" s="60" t="e">
        <f>+SUMIFS([51]section_article!$H$10:$H$936,[51]section_article!$C$10:$C$936,C661,[51]section_article!$D$10:$D$936,D661)</f>
        <v>#VALUE!</v>
      </c>
      <c r="N661" s="24" t="e">
        <f t="shared" ref="N657:N663" si="370">+J661-M661</f>
        <v>#VALUE!</v>
      </c>
      <c r="O661" s="9"/>
      <c r="Q661" s="63"/>
      <c r="AK661" s="64"/>
      <c r="AL661" s="64"/>
      <c r="AM661" s="64"/>
      <c r="AN661" s="64"/>
      <c r="AO661" s="11">
        <v>1314111</v>
      </c>
      <c r="AP661" s="65" t="str">
        <f t="shared" si="369"/>
        <v>13141115</v>
      </c>
    </row>
    <row r="662" spans="1:42" s="62" customFormat="1" ht="27.75" hidden="1" customHeight="1" thickTop="1" thickBot="1" x14ac:dyDescent="0.3">
      <c r="A662" s="56" t="s">
        <v>22</v>
      </c>
      <c r="B662" s="56" t="s">
        <v>22</v>
      </c>
      <c r="C662" s="57">
        <f t="shared" si="366"/>
        <v>1314111</v>
      </c>
      <c r="D662" s="58">
        <v>7</v>
      </c>
      <c r="E662" s="59" t="str">
        <f t="shared" si="367"/>
        <v>SUBVENTIONS,QUOTES-PARTS ET CONTRIB.,ALLOC, INDEMNISATIONS</v>
      </c>
      <c r="F662" s="60" t="e">
        <f>SUMIFS([49]mensuel_section_article1!$E$3:$E$962,[49]mensuel_section_article1!$B$3:$B$962,C662,[49]mensuel_section_article1!$C$3:$C$962,D662)</f>
        <v>#VALUE!</v>
      </c>
      <c r="G662" s="60" t="e">
        <f>SUMIFS([49]mensuel_section_article1!$G$3:$G$962,[49]mensuel_section_article1!$B$3:$B$962,C662,[49]mensuel_section_article1!$C$3:$C$962,D662)</f>
        <v>#VALUE!</v>
      </c>
      <c r="H662" s="60">
        <v>0</v>
      </c>
      <c r="I662" s="60">
        <v>0</v>
      </c>
      <c r="J662" s="60">
        <v>0</v>
      </c>
      <c r="K662" s="60">
        <f t="shared" si="368"/>
        <v>0</v>
      </c>
      <c r="L662" s="61" t="e">
        <f>IF(F662&lt;&gt;0,K662/F662,0)</f>
        <v>#VALUE!</v>
      </c>
      <c r="M662" s="60" t="e">
        <f>+SUMIFS([51]section_article!$H$10:$H$936,[51]section_article!$C$10:$C$936,C662,[51]section_article!$D$10:$D$936,D662)</f>
        <v>#VALUE!</v>
      </c>
      <c r="N662" s="24" t="e">
        <f t="shared" si="370"/>
        <v>#VALUE!</v>
      </c>
      <c r="O662" s="9"/>
      <c r="Q662" s="63"/>
      <c r="AK662" s="64"/>
      <c r="AL662" s="64"/>
      <c r="AM662" s="64"/>
      <c r="AN662" s="64"/>
      <c r="AO662" s="11">
        <v>1314111</v>
      </c>
      <c r="AP662" s="65" t="str">
        <f t="shared" si="369"/>
        <v>13141117</v>
      </c>
    </row>
    <row r="663" spans="1:42" s="62" customFormat="1" ht="27.75" customHeight="1" thickTop="1" thickBot="1" x14ac:dyDescent="0.3">
      <c r="A663" s="56" t="s">
        <v>22</v>
      </c>
      <c r="B663" s="56" t="s">
        <v>22</v>
      </c>
      <c r="C663" s="57">
        <f t="shared" si="366"/>
        <v>1314111</v>
      </c>
      <c r="D663" s="58">
        <v>9</v>
      </c>
      <c r="E663" s="59" t="str">
        <f t="shared" si="367"/>
        <v>AUTRES DEPENSES PUBLIQUES</v>
      </c>
      <c r="F663" s="60" t="e">
        <f>SUMIFS([49]mensuel_section_article1!$E$3:$E$962,[49]mensuel_section_article1!$B$3:$B$962,C663,[49]mensuel_section_article1!$C$3:$C$962,D663)</f>
        <v>#VALUE!</v>
      </c>
      <c r="G663" s="60" t="e">
        <f>SUMIFS([49]mensuel_section_article1!$G$3:$G$962,[49]mensuel_section_article1!$B$3:$B$962,C663,[49]mensuel_section_article1!$C$3:$C$962,D663)</f>
        <v>#VALUE!</v>
      </c>
      <c r="H663" s="60">
        <v>3349248</v>
      </c>
      <c r="I663" s="60">
        <v>1954900.01</v>
      </c>
      <c r="J663" s="60">
        <v>1954900</v>
      </c>
      <c r="K663" s="60">
        <f t="shared" si="368"/>
        <v>1394348</v>
      </c>
      <c r="L663" s="61">
        <f t="shared" ref="L663:L668" si="371">+J663/H663</f>
        <v>0.58368326263089509</v>
      </c>
      <c r="M663" s="60"/>
      <c r="N663" s="24"/>
      <c r="O663" s="9"/>
      <c r="Q663" s="63"/>
      <c r="AK663" s="64"/>
      <c r="AL663" s="64"/>
      <c r="AM663" s="64"/>
      <c r="AN663" s="64"/>
      <c r="AO663" s="11">
        <v>1314111</v>
      </c>
      <c r="AP663" s="65" t="str">
        <f t="shared" si="369"/>
        <v>13141119</v>
      </c>
    </row>
    <row r="664" spans="1:42" s="1" customFormat="1" ht="27.75" customHeight="1" thickTop="1" thickBot="1" x14ac:dyDescent="0.3">
      <c r="A664" s="50" t="s">
        <v>20</v>
      </c>
      <c r="B664" s="50" t="s">
        <v>20</v>
      </c>
      <c r="C664" s="50" t="s">
        <v>20</v>
      </c>
      <c r="D664" s="51">
        <v>1314112</v>
      </c>
      <c r="E664" s="67" t="s">
        <v>108</v>
      </c>
      <c r="F664" s="68" t="e">
        <f>SUMIF($B$665:$B$671,"article",F665:F671)</f>
        <v>#VALUE!</v>
      </c>
      <c r="G664" s="68" t="e">
        <f>SUMIF($B$665:$B$671,"article",G665:G671)</f>
        <v>#VALUE!</v>
      </c>
      <c r="H664" s="68">
        <f>SUMIF($B$665:$B$671,"article",H665:H671)</f>
        <v>147010610.06790003</v>
      </c>
      <c r="I664" s="68">
        <v>155391810.08999997</v>
      </c>
      <c r="J664" s="68">
        <f>SUMIF($B$665:$B$671,"article",J665:J671)</f>
        <v>155251038.02000001</v>
      </c>
      <c r="K664" s="68">
        <f>SUMIF($B$665:$B$671,"article",K665:K671)</f>
        <v>-8240427.9520999715</v>
      </c>
      <c r="L664" s="69">
        <f t="shared" si="371"/>
        <v>1.056053287230724</v>
      </c>
      <c r="M664" s="68"/>
      <c r="N664" s="68"/>
      <c r="O664" s="9"/>
      <c r="Q664" s="23"/>
      <c r="AK664" s="70"/>
      <c r="AL664" s="70"/>
      <c r="AM664" s="70"/>
      <c r="AN664" s="70"/>
      <c r="AO664" s="11">
        <v>1314112</v>
      </c>
    </row>
    <row r="665" spans="1:42" s="62" customFormat="1" ht="27.75" customHeight="1" thickTop="1" thickBot="1" x14ac:dyDescent="0.3">
      <c r="A665" s="56" t="s">
        <v>22</v>
      </c>
      <c r="B665" s="56" t="s">
        <v>22</v>
      </c>
      <c r="C665" s="57">
        <f t="shared" ref="C665:C671" si="372">IF(A664="SECTION",D664,C664)</f>
        <v>1314112</v>
      </c>
      <c r="D665" s="58">
        <v>1</v>
      </c>
      <c r="E665" s="59" t="str">
        <f t="shared" ref="E665:E671" si="373">IF(D665=1, "DEPENSES DE PERSONNEL",  +IF(D665=2,"DEPENSES DE SERVICES ET CHARGES DIVERSES", +IF(D665=3,"ACHATS DE BIENS DE CONSOMMATION ET PETITS MATERIELS",+IF(D665=4,"IMMOBILISATION CORPORELLE",+IF(D665=5,"IMMOBILISATION INCORPORELLE",+IF(D665=7,"SUBVENTIONS,QUOTES-PARTS ET CONTRIB.,ALLOC, INDEMNISATIONS",+IF(D665=8,"AMORTISSEMENT DE LA DETTE",+IF(D665=9,"AUTRES DEPENSES PUBLIQUES",0))))))))</f>
        <v>DEPENSES DE PERSONNEL</v>
      </c>
      <c r="F665" s="60" t="e">
        <f>SUMIFS([49]mensuel_section_article1!$E$3:$E$962,[49]mensuel_section_article1!$B$3:$B$962,C665,[49]mensuel_section_article1!$C$3:$C$962,D665)</f>
        <v>#VALUE!</v>
      </c>
      <c r="G665" s="60" t="e">
        <f>SUMIFS([49]mensuel_section_article1!$G$3:$G$962,[49]mensuel_section_article1!$B$3:$B$962,C665,[49]mensuel_section_article1!$C$3:$C$962,D665)</f>
        <v>#VALUE!</v>
      </c>
      <c r="H665" s="60">
        <v>91872757.493900031</v>
      </c>
      <c r="I665" s="60">
        <v>98980559.520000011</v>
      </c>
      <c r="J665" s="60">
        <v>98980518.25</v>
      </c>
      <c r="K665" s="60">
        <f t="shared" ref="K665:K671" si="374">+H665-J665</f>
        <v>-7107760.7560999691</v>
      </c>
      <c r="L665" s="61">
        <f t="shared" si="371"/>
        <v>1.077365270728615</v>
      </c>
      <c r="M665" s="60"/>
      <c r="N665" s="24"/>
      <c r="O665" s="9"/>
      <c r="Q665" s="63"/>
      <c r="AK665" s="64"/>
      <c r="AL665" s="64"/>
      <c r="AM665" s="64"/>
      <c r="AN665" s="64"/>
      <c r="AO665" s="11">
        <v>1314112</v>
      </c>
      <c r="AP665" s="65" t="str">
        <f t="shared" ref="AP665:AP671" si="375">CONCATENATE(AO665,D665)</f>
        <v>13141121</v>
      </c>
    </row>
    <row r="666" spans="1:42" s="62" customFormat="1" ht="27.75" customHeight="1" thickTop="1" thickBot="1" x14ac:dyDescent="0.3">
      <c r="A666" s="56" t="s">
        <v>22</v>
      </c>
      <c r="B666" s="56" t="s">
        <v>22</v>
      </c>
      <c r="C666" s="57">
        <f t="shared" si="372"/>
        <v>1314112</v>
      </c>
      <c r="D666" s="58">
        <v>2</v>
      </c>
      <c r="E666" s="59" t="str">
        <f t="shared" si="373"/>
        <v>DEPENSES DE SERVICES ET CHARGES DIVERSES</v>
      </c>
      <c r="F666" s="60" t="e">
        <f>SUMIFS([49]mensuel_section_article1!$E$3:$E$962,[49]mensuel_section_article1!$B$3:$B$962,C666,[49]mensuel_section_article1!$C$3:$C$962,D666)</f>
        <v>#VALUE!</v>
      </c>
      <c r="G666" s="60" t="e">
        <f>SUMIFS([49]mensuel_section_article1!$G$3:$G$962,[49]mensuel_section_article1!$B$3:$B$962,C666,[49]mensuel_section_article1!$C$3:$C$962,D666)</f>
        <v>#VALUE!</v>
      </c>
      <c r="H666" s="60">
        <v>17462826.219999999</v>
      </c>
      <c r="I666" s="60">
        <v>26763204.189999998</v>
      </c>
      <c r="J666" s="60">
        <v>26624283.950000003</v>
      </c>
      <c r="K666" s="60">
        <f t="shared" si="374"/>
        <v>-9161457.7300000042</v>
      </c>
      <c r="L666" s="61">
        <f t="shared" si="371"/>
        <v>1.5246262898446232</v>
      </c>
      <c r="M666" s="60"/>
      <c r="N666" s="24"/>
      <c r="O666" s="9"/>
      <c r="Q666" s="63"/>
      <c r="AK666" s="64"/>
      <c r="AL666" s="64"/>
      <c r="AM666" s="64"/>
      <c r="AN666" s="64"/>
      <c r="AO666" s="11">
        <v>1314112</v>
      </c>
      <c r="AP666" s="65" t="str">
        <f t="shared" si="375"/>
        <v>13141122</v>
      </c>
    </row>
    <row r="667" spans="1:42" s="62" customFormat="1" ht="27.75" customHeight="1" thickTop="1" thickBot="1" x14ac:dyDescent="0.3">
      <c r="A667" s="56" t="s">
        <v>22</v>
      </c>
      <c r="B667" s="56" t="s">
        <v>22</v>
      </c>
      <c r="C667" s="57">
        <f t="shared" si="372"/>
        <v>1314112</v>
      </c>
      <c r="D667" s="58">
        <v>3</v>
      </c>
      <c r="E667" s="59" t="str">
        <f t="shared" si="373"/>
        <v>ACHATS DE BIENS DE CONSOMMATION ET PETITS MATERIELS</v>
      </c>
      <c r="F667" s="60" t="e">
        <f>SUMIFS([49]mensuel_section_article1!$E$3:$E$962,[49]mensuel_section_article1!$B$3:$B$962,C667,[49]mensuel_section_article1!$C$3:$C$962,D667)</f>
        <v>#VALUE!</v>
      </c>
      <c r="G667" s="60" t="e">
        <f>SUMIFS([49]mensuel_section_article1!$G$3:$G$962,[49]mensuel_section_article1!$B$3:$B$962,C667,[49]mensuel_section_article1!$C$3:$C$962,D667)</f>
        <v>#VALUE!</v>
      </c>
      <c r="H667" s="60">
        <v>11987395.284</v>
      </c>
      <c r="I667" s="60">
        <v>17286633.299999997</v>
      </c>
      <c r="J667" s="60">
        <v>17284842.82</v>
      </c>
      <c r="K667" s="60">
        <f t="shared" si="374"/>
        <v>-5297447.5360000003</v>
      </c>
      <c r="L667" s="61">
        <f t="shared" si="371"/>
        <v>1.4419181490636828</v>
      </c>
      <c r="M667" s="60"/>
      <c r="N667" s="24"/>
      <c r="O667" s="9"/>
      <c r="Q667" s="63"/>
      <c r="AK667" s="64"/>
      <c r="AL667" s="64"/>
      <c r="AM667" s="64"/>
      <c r="AN667" s="64"/>
      <c r="AO667" s="11">
        <v>1314112</v>
      </c>
      <c r="AP667" s="65" t="str">
        <f t="shared" si="375"/>
        <v>13141123</v>
      </c>
    </row>
    <row r="668" spans="1:42" s="62" customFormat="1" ht="27.75" customHeight="1" thickTop="1" thickBot="1" x14ac:dyDescent="0.3">
      <c r="A668" s="56" t="s">
        <v>22</v>
      </c>
      <c r="B668" s="56" t="s">
        <v>22</v>
      </c>
      <c r="C668" s="57">
        <f t="shared" si="372"/>
        <v>1314112</v>
      </c>
      <c r="D668" s="58">
        <v>4</v>
      </c>
      <c r="E668" s="59" t="str">
        <f t="shared" si="373"/>
        <v>IMMOBILISATION CORPORELLE</v>
      </c>
      <c r="F668" s="60" t="e">
        <f>SUMIFS([49]mensuel_section_article1!$E$3:$E$962,[49]mensuel_section_article1!$B$3:$B$962,C668,[49]mensuel_section_article1!$C$3:$C$962,D668)</f>
        <v>#VALUE!</v>
      </c>
      <c r="G668" s="60" t="e">
        <f>SUMIFS([49]mensuel_section_article1!$G$3:$G$962,[49]mensuel_section_article1!$B$3:$B$962,C668,[49]mensuel_section_article1!$C$3:$C$962,D668)</f>
        <v>#VALUE!</v>
      </c>
      <c r="H668" s="60">
        <v>4500004.09</v>
      </c>
      <c r="I668" s="60">
        <v>7411402.0700000003</v>
      </c>
      <c r="J668" s="60">
        <v>7411393</v>
      </c>
      <c r="K668" s="60">
        <f t="shared" si="374"/>
        <v>-2911388.91</v>
      </c>
      <c r="L668" s="61">
        <f t="shared" si="371"/>
        <v>1.6469747253051941</v>
      </c>
      <c r="M668" s="60"/>
      <c r="N668" s="24"/>
      <c r="O668" s="9"/>
      <c r="Q668" s="63"/>
      <c r="AK668" s="64"/>
      <c r="AL668" s="64"/>
      <c r="AM668" s="64"/>
      <c r="AN668" s="64"/>
      <c r="AO668" s="11">
        <v>1314112</v>
      </c>
      <c r="AP668" s="65" t="str">
        <f t="shared" si="375"/>
        <v>13141124</v>
      </c>
    </row>
    <row r="669" spans="1:42" s="62" customFormat="1" ht="27.75" hidden="1" customHeight="1" thickTop="1" thickBot="1" x14ac:dyDescent="0.3">
      <c r="A669" s="56" t="s">
        <v>22</v>
      </c>
      <c r="B669" s="56" t="s">
        <v>22</v>
      </c>
      <c r="C669" s="57">
        <f t="shared" si="372"/>
        <v>1314112</v>
      </c>
      <c r="D669" s="58">
        <v>5</v>
      </c>
      <c r="E669" s="59" t="str">
        <f t="shared" si="373"/>
        <v>IMMOBILISATION INCORPORELLE</v>
      </c>
      <c r="F669" s="60" t="e">
        <f>SUMIFS([49]mensuel_section_article1!$E$3:$E$962,[49]mensuel_section_article1!$B$3:$B$962,C669,[49]mensuel_section_article1!$C$3:$C$962,D669)</f>
        <v>#VALUE!</v>
      </c>
      <c r="G669" s="60" t="e">
        <f>SUMIFS([49]mensuel_section_article1!$G$3:$G$962,[49]mensuel_section_article1!$B$3:$B$962,C669,[49]mensuel_section_article1!$C$3:$C$962,D669)</f>
        <v>#VALUE!</v>
      </c>
      <c r="H669" s="60">
        <v>0</v>
      </c>
      <c r="I669" s="60">
        <v>0</v>
      </c>
      <c r="J669" s="60">
        <v>0</v>
      </c>
      <c r="K669" s="60">
        <f t="shared" si="374"/>
        <v>0</v>
      </c>
      <c r="L669" s="61" t="e">
        <f>IF(F669&lt;&gt;0,K669/F669,0)</f>
        <v>#VALUE!</v>
      </c>
      <c r="M669" s="60" t="e">
        <f>+SUMIFS([51]section_article!$H$10:$H$936,[51]section_article!$C$10:$C$936,C669,[51]section_article!$D$10:$D$936,D669)</f>
        <v>#VALUE!</v>
      </c>
      <c r="N669" s="24" t="e">
        <f t="shared" ref="N665:N671" si="376">+J669-M669</f>
        <v>#VALUE!</v>
      </c>
      <c r="O669" s="9"/>
      <c r="Q669" s="63"/>
      <c r="AK669" s="64"/>
      <c r="AL669" s="64"/>
      <c r="AM669" s="64"/>
      <c r="AN669" s="64"/>
      <c r="AO669" s="11">
        <v>1314112</v>
      </c>
      <c r="AP669" s="65" t="str">
        <f t="shared" si="375"/>
        <v>13141125</v>
      </c>
    </row>
    <row r="670" spans="1:42" s="62" customFormat="1" ht="27.75" hidden="1" customHeight="1" thickTop="1" thickBot="1" x14ac:dyDescent="0.3">
      <c r="A670" s="56" t="s">
        <v>22</v>
      </c>
      <c r="B670" s="56" t="s">
        <v>22</v>
      </c>
      <c r="C670" s="57">
        <f t="shared" si="372"/>
        <v>1314112</v>
      </c>
      <c r="D670" s="58">
        <v>7</v>
      </c>
      <c r="E670" s="59" t="str">
        <f t="shared" si="373"/>
        <v>SUBVENTIONS,QUOTES-PARTS ET CONTRIB.,ALLOC, INDEMNISATIONS</v>
      </c>
      <c r="F670" s="60" t="e">
        <f>SUMIFS([49]mensuel_section_article1!$E$3:$E$962,[49]mensuel_section_article1!$B$3:$B$962,C670,[49]mensuel_section_article1!$C$3:$C$962,D670)</f>
        <v>#VALUE!</v>
      </c>
      <c r="G670" s="60" t="e">
        <f>SUMIFS([49]mensuel_section_article1!$G$3:$G$962,[49]mensuel_section_article1!$B$3:$B$962,C670,[49]mensuel_section_article1!$C$3:$C$962,D670)</f>
        <v>#VALUE!</v>
      </c>
      <c r="H670" s="60">
        <v>0</v>
      </c>
      <c r="I670" s="60">
        <v>0</v>
      </c>
      <c r="J670" s="60">
        <v>0</v>
      </c>
      <c r="K670" s="60">
        <f t="shared" si="374"/>
        <v>0</v>
      </c>
      <c r="L670" s="61" t="e">
        <f>IF(F670&lt;&gt;0,K670/F670,0)</f>
        <v>#VALUE!</v>
      </c>
      <c r="M670" s="60" t="e">
        <f>+SUMIFS([51]section_article!$H$10:$H$936,[51]section_article!$C$10:$C$936,C670,[51]section_article!$D$10:$D$936,D670)</f>
        <v>#VALUE!</v>
      </c>
      <c r="N670" s="24" t="e">
        <f t="shared" si="376"/>
        <v>#VALUE!</v>
      </c>
      <c r="O670" s="9"/>
      <c r="Q670" s="63"/>
      <c r="AK670" s="64"/>
      <c r="AL670" s="64"/>
      <c r="AM670" s="64"/>
      <c r="AN670" s="64"/>
      <c r="AO670" s="11">
        <v>1314112</v>
      </c>
      <c r="AP670" s="65" t="str">
        <f t="shared" si="375"/>
        <v>13141127</v>
      </c>
    </row>
    <row r="671" spans="1:42" s="62" customFormat="1" ht="27.75" customHeight="1" thickTop="1" thickBot="1" x14ac:dyDescent="0.3">
      <c r="A671" s="56" t="s">
        <v>22</v>
      </c>
      <c r="B671" s="56" t="s">
        <v>22</v>
      </c>
      <c r="C671" s="57">
        <f t="shared" si="372"/>
        <v>1314112</v>
      </c>
      <c r="D671" s="58">
        <v>9</v>
      </c>
      <c r="E671" s="59" t="str">
        <f t="shared" si="373"/>
        <v>AUTRES DEPENSES PUBLIQUES</v>
      </c>
      <c r="F671" s="60" t="e">
        <f>SUMIFS([49]mensuel_section_article1!$E$3:$E$962,[49]mensuel_section_article1!$B$3:$B$962,C671,[49]mensuel_section_article1!$C$3:$C$962,D671)</f>
        <v>#VALUE!</v>
      </c>
      <c r="G671" s="60" t="e">
        <f>SUMIFS([49]mensuel_section_article1!$G$3:$G$962,[49]mensuel_section_article1!$B$3:$B$962,C671,[49]mensuel_section_article1!$C$3:$C$962,D671)</f>
        <v>#VALUE!</v>
      </c>
      <c r="H671" s="60">
        <v>21187626.98</v>
      </c>
      <c r="I671" s="60">
        <v>4950011.01</v>
      </c>
      <c r="J671" s="60">
        <v>4950000</v>
      </c>
      <c r="K671" s="60">
        <f t="shared" si="374"/>
        <v>16237626.98</v>
      </c>
      <c r="L671" s="61">
        <f t="shared" ref="L671:L677" si="377">+J671/H671</f>
        <v>0.23362691842142294</v>
      </c>
      <c r="M671" s="60"/>
      <c r="N671" s="24"/>
      <c r="O671" s="9"/>
      <c r="Q671" s="63"/>
      <c r="AK671" s="64"/>
      <c r="AL671" s="64"/>
      <c r="AM671" s="64"/>
      <c r="AN671" s="64"/>
      <c r="AO671" s="11">
        <v>1314112</v>
      </c>
      <c r="AP671" s="65" t="str">
        <f t="shared" si="375"/>
        <v>13141129</v>
      </c>
    </row>
    <row r="672" spans="1:42" s="1" customFormat="1" ht="27.75" customHeight="1" thickTop="1" x14ac:dyDescent="0.25">
      <c r="A672" s="72" t="s">
        <v>16</v>
      </c>
      <c r="B672" s="72" t="s">
        <v>16</v>
      </c>
      <c r="C672" s="72" t="s">
        <v>16</v>
      </c>
      <c r="D672" s="73">
        <v>1315</v>
      </c>
      <c r="E672" s="74" t="s">
        <v>109</v>
      </c>
      <c r="F672" s="75" t="e">
        <f>SUMIF($B$673:$B$689,"chap",F673:F689)</f>
        <v>#VALUE!</v>
      </c>
      <c r="G672" s="75" t="e">
        <f>SUMIF($B$673:$B$689,"chap",G673:G689)</f>
        <v>#VALUE!</v>
      </c>
      <c r="H672" s="75">
        <f>SUMIF($B$673:$B$689,"chap",H673:H689)</f>
        <v>734519657.76000011</v>
      </c>
      <c r="I672" s="75">
        <v>734519657.79999995</v>
      </c>
      <c r="J672" s="75">
        <f>SUMIF($B$673:$B$689,"chap",J673:J689)</f>
        <v>605708016.75999999</v>
      </c>
      <c r="K672" s="75">
        <f>SUMIF($B$673:$B$689,"chap",K673:K689)</f>
        <v>128811641.00000012</v>
      </c>
      <c r="L672" s="76">
        <f t="shared" si="377"/>
        <v>0.82463145861497344</v>
      </c>
      <c r="M672" s="75"/>
      <c r="N672" s="75"/>
      <c r="O672" s="9"/>
      <c r="Q672" s="23"/>
      <c r="AJ672" s="77"/>
      <c r="AK672" s="77"/>
      <c r="AL672" s="77"/>
      <c r="AM672" s="77"/>
      <c r="AN672" s="77"/>
      <c r="AO672" s="11"/>
    </row>
    <row r="673" spans="1:42" s="49" customFormat="1" ht="27.75" customHeight="1" x14ac:dyDescent="0.25">
      <c r="A673" s="43" t="s">
        <v>19</v>
      </c>
      <c r="B673" s="43" t="s">
        <v>19</v>
      </c>
      <c r="C673" s="43" t="s">
        <v>19</v>
      </c>
      <c r="D673" s="44">
        <v>13151</v>
      </c>
      <c r="E673" s="45" t="str">
        <f>VLOOKUP(D673,[49]INST!$A$1:$B$626,2,FALSE)</f>
        <v>SERVICES INTERNES</v>
      </c>
      <c r="F673" s="46" t="e">
        <f>SUMIF($B$674:$B$689,"section",F674:F689)</f>
        <v>#VALUE!</v>
      </c>
      <c r="G673" s="46" t="e">
        <f>SUMIF($B$674:$B$689,"section",G674:G689)</f>
        <v>#VALUE!</v>
      </c>
      <c r="H673" s="46">
        <f>SUMIF($B$674:$B$689,"section",H674:H689)</f>
        <v>734519657.76000011</v>
      </c>
      <c r="I673" s="46">
        <v>734519657.79999995</v>
      </c>
      <c r="J673" s="46">
        <f>SUMIF($B$674:$B$689,"section",J674:J689)</f>
        <v>605708016.75999999</v>
      </c>
      <c r="K673" s="46">
        <f>SUMIF($B$674:$B$689,"section",K674:K689)</f>
        <v>128811641.00000012</v>
      </c>
      <c r="L673" s="47">
        <f t="shared" si="377"/>
        <v>0.82463145861497344</v>
      </c>
      <c r="M673" s="46"/>
      <c r="N673" s="46"/>
      <c r="O673" s="48"/>
      <c r="AO673" s="11"/>
    </row>
    <row r="674" spans="1:42" s="1" customFormat="1" ht="27.75" customHeight="1" thickBot="1" x14ac:dyDescent="0.3">
      <c r="A674" s="71" t="s">
        <v>20</v>
      </c>
      <c r="B674" s="71" t="s">
        <v>20</v>
      </c>
      <c r="C674" s="71" t="s">
        <v>20</v>
      </c>
      <c r="D674" s="51">
        <v>1315111</v>
      </c>
      <c r="E674" s="67" t="s">
        <v>21</v>
      </c>
      <c r="F674" s="68" t="e">
        <f>SUMIF($B$675:$B$681,"article",F675:F681)</f>
        <v>#VALUE!</v>
      </c>
      <c r="G674" s="68" t="e">
        <f>SUMIF($B$675:$B$681,"article",G675:G681)</f>
        <v>#VALUE!</v>
      </c>
      <c r="H674" s="68">
        <f>SUMIF($B$675:$B$681,"article",H675:H681)</f>
        <v>133974332.96000001</v>
      </c>
      <c r="I674" s="68">
        <v>341165884.00999993</v>
      </c>
      <c r="J674" s="68">
        <f>SUMIF($B$675:$B$681,"article",J675:J681)</f>
        <v>333894257.66999996</v>
      </c>
      <c r="K674" s="68">
        <f>SUMIF($B$675:$B$681,"article",K675:K681)</f>
        <v>-199919924.70999998</v>
      </c>
      <c r="L674" s="69">
        <f t="shared" si="377"/>
        <v>2.4922255650990177</v>
      </c>
      <c r="M674" s="68"/>
      <c r="N674" s="68"/>
      <c r="O674" s="9"/>
      <c r="Q674" s="23"/>
      <c r="AJ674" s="70"/>
      <c r="AK674" s="70"/>
      <c r="AL674" s="70"/>
      <c r="AM674" s="70"/>
      <c r="AN674" s="70"/>
      <c r="AO674" s="11">
        <v>1315111</v>
      </c>
    </row>
    <row r="675" spans="1:42" s="62" customFormat="1" ht="27.75" customHeight="1" thickTop="1" thickBot="1" x14ac:dyDescent="0.3">
      <c r="A675" s="56" t="s">
        <v>22</v>
      </c>
      <c r="B675" s="56" t="s">
        <v>22</v>
      </c>
      <c r="C675" s="57">
        <f t="shared" ref="C675:C681" si="378">IF(A674="SECTION",D674,C674)</f>
        <v>1315111</v>
      </c>
      <c r="D675" s="58">
        <v>1</v>
      </c>
      <c r="E675" s="59" t="str">
        <f t="shared" ref="E675:E681" si="379">IF(D675=1, "DEPENSES DE PERSONNEL",  +IF(D675=2,"DEPENSES DE SERVICES ET CHARGES DIVERSES", +IF(D675=3,"ACHATS DE BIENS DE CONSOMMATION ET PETITS MATERIELS",+IF(D675=4,"IMMOBILISATION CORPORELLE",+IF(D675=5,"IMMOBILISATION INCORPORELLE",+IF(D675=7,"SUBVENTIONS,QUOTES-PARTS ET CONTRIB.,ALLOC, INDEMNISATIONS",+IF(D675=8,"AMORTISSEMENT DE LA DETTE",+IF(D675=9,"AUTRES DEPENSES PUBLIQUES",0))))))))</f>
        <v>DEPENSES DE PERSONNEL</v>
      </c>
      <c r="F675" s="60" t="e">
        <f>SUMIFS([49]mensuel_section_article1!$E$3:$E$962,[49]mensuel_section_article1!$B$3:$B$962,C675,[49]mensuel_section_article1!$C$3:$C$962,D675)</f>
        <v>#VALUE!</v>
      </c>
      <c r="G675" s="60" t="e">
        <f>SUMIFS([49]mensuel_section_article1!$G$3:$G$962,[49]mensuel_section_article1!$B$3:$B$962,C675,[49]mensuel_section_article1!$C$3:$C$962,D675)</f>
        <v>#VALUE!</v>
      </c>
      <c r="H675" s="60">
        <v>81668614.960000008</v>
      </c>
      <c r="I675" s="60">
        <v>278650425.00999993</v>
      </c>
      <c r="J675" s="60">
        <v>278099272.82999998</v>
      </c>
      <c r="K675" s="60">
        <f t="shared" ref="K675:K681" si="380">+H675-J675</f>
        <v>-196430657.86999997</v>
      </c>
      <c r="L675" s="61">
        <f t="shared" si="377"/>
        <v>3.4052159812702665</v>
      </c>
      <c r="M675" s="60"/>
      <c r="N675" s="24"/>
      <c r="O675" s="9"/>
      <c r="Q675" s="63"/>
      <c r="AJ675" s="64"/>
      <c r="AK675" s="64"/>
      <c r="AL675" s="64"/>
      <c r="AM675" s="64"/>
      <c r="AN675" s="64"/>
      <c r="AO675" s="11">
        <v>1315111</v>
      </c>
      <c r="AP675" s="65" t="str">
        <f t="shared" ref="AP675:AP681" si="381">CONCATENATE(AO675,D675)</f>
        <v>13151111</v>
      </c>
    </row>
    <row r="676" spans="1:42" s="62" customFormat="1" ht="27.75" customHeight="1" thickTop="1" thickBot="1" x14ac:dyDescent="0.3">
      <c r="A676" s="56" t="s">
        <v>22</v>
      </c>
      <c r="B676" s="56" t="s">
        <v>22</v>
      </c>
      <c r="C676" s="57">
        <f t="shared" si="378"/>
        <v>1315111</v>
      </c>
      <c r="D676" s="58">
        <v>2</v>
      </c>
      <c r="E676" s="59" t="str">
        <f t="shared" si="379"/>
        <v>DEPENSES DE SERVICES ET CHARGES DIVERSES</v>
      </c>
      <c r="F676" s="60" t="e">
        <f>SUMIFS([49]mensuel_section_article1!$E$3:$E$962,[49]mensuel_section_article1!$B$3:$B$962,C676,[49]mensuel_section_article1!$C$3:$C$962,D676)</f>
        <v>#VALUE!</v>
      </c>
      <c r="G676" s="60" t="e">
        <f>SUMIFS([49]mensuel_section_article1!$G$3:$G$962,[49]mensuel_section_article1!$B$3:$B$962,C676,[49]mensuel_section_article1!$C$3:$C$962,D676)</f>
        <v>#VALUE!</v>
      </c>
      <c r="H676" s="60">
        <v>9066084</v>
      </c>
      <c r="I676" s="60">
        <v>23426084</v>
      </c>
      <c r="J676" s="60">
        <v>17088494.84</v>
      </c>
      <c r="K676" s="60">
        <f t="shared" si="380"/>
        <v>-8022410.8399999999</v>
      </c>
      <c r="L676" s="61">
        <f t="shared" si="377"/>
        <v>1.8848815916552284</v>
      </c>
      <c r="M676" s="60"/>
      <c r="N676" s="24"/>
      <c r="O676" s="9"/>
      <c r="Q676" s="66"/>
      <c r="AJ676" s="64"/>
      <c r="AK676" s="64"/>
      <c r="AL676" s="64"/>
      <c r="AM676" s="64"/>
      <c r="AN676" s="64"/>
      <c r="AO676" s="11">
        <v>1315111</v>
      </c>
      <c r="AP676" s="65" t="str">
        <f t="shared" si="381"/>
        <v>13151112</v>
      </c>
    </row>
    <row r="677" spans="1:42" s="62" customFormat="1" ht="27.75" customHeight="1" thickTop="1" thickBot="1" x14ac:dyDescent="0.3">
      <c r="A677" s="56" t="s">
        <v>22</v>
      </c>
      <c r="B677" s="56" t="s">
        <v>22</v>
      </c>
      <c r="C677" s="57">
        <f t="shared" si="378"/>
        <v>1315111</v>
      </c>
      <c r="D677" s="58">
        <v>3</v>
      </c>
      <c r="E677" s="59" t="str">
        <f t="shared" si="379"/>
        <v>ACHATS DE BIENS DE CONSOMMATION ET PETITS MATERIELS</v>
      </c>
      <c r="F677" s="60" t="e">
        <f>SUMIFS([49]mensuel_section_article1!$E$3:$E$962,[49]mensuel_section_article1!$B$3:$B$962,C677,[49]mensuel_section_article1!$C$3:$C$962,D677)</f>
        <v>#VALUE!</v>
      </c>
      <c r="G677" s="60" t="e">
        <f>SUMIFS([49]mensuel_section_article1!$G$3:$G$962,[49]mensuel_section_article1!$B$3:$B$962,C677,[49]mensuel_section_article1!$C$3:$C$962,D677)</f>
        <v>#VALUE!</v>
      </c>
      <c r="H677" s="60">
        <v>5939642</v>
      </c>
      <c r="I677" s="60">
        <v>4672763</v>
      </c>
      <c r="J677" s="60">
        <v>4672170</v>
      </c>
      <c r="K677" s="60">
        <f t="shared" si="380"/>
        <v>1267472</v>
      </c>
      <c r="L677" s="61">
        <f t="shared" si="377"/>
        <v>0.78660801442241801</v>
      </c>
      <c r="M677" s="60"/>
      <c r="N677" s="24"/>
      <c r="O677" s="9"/>
      <c r="Q677" s="63"/>
      <c r="AJ677" s="64"/>
      <c r="AK677" s="64"/>
      <c r="AL677" s="64"/>
      <c r="AM677" s="64"/>
      <c r="AN677" s="64"/>
      <c r="AO677" s="11">
        <v>1315111</v>
      </c>
      <c r="AP677" s="65" t="str">
        <f t="shared" si="381"/>
        <v>13151113</v>
      </c>
    </row>
    <row r="678" spans="1:42" s="62" customFormat="1" ht="27.75" hidden="1" customHeight="1" thickTop="1" thickBot="1" x14ac:dyDescent="0.3">
      <c r="A678" s="56" t="s">
        <v>22</v>
      </c>
      <c r="B678" s="56" t="s">
        <v>22</v>
      </c>
      <c r="C678" s="57">
        <f t="shared" si="378"/>
        <v>1315111</v>
      </c>
      <c r="D678" s="58">
        <v>4</v>
      </c>
      <c r="E678" s="59" t="str">
        <f t="shared" si="379"/>
        <v>IMMOBILISATION CORPORELLE</v>
      </c>
      <c r="F678" s="60" t="e">
        <f>SUMIFS([49]mensuel_section_article1!$E$3:$E$962,[49]mensuel_section_article1!$B$3:$B$962,C678,[49]mensuel_section_article1!$C$3:$C$962,D678)</f>
        <v>#VALUE!</v>
      </c>
      <c r="G678" s="60" t="e">
        <f>SUMIFS([49]mensuel_section_article1!$G$3:$G$962,[49]mensuel_section_article1!$B$3:$B$962,C678,[49]mensuel_section_article1!$C$3:$C$962,D678)</f>
        <v>#VALUE!</v>
      </c>
      <c r="H678" s="60">
        <v>0</v>
      </c>
      <c r="I678" s="60">
        <v>0</v>
      </c>
      <c r="J678" s="60">
        <v>0</v>
      </c>
      <c r="K678" s="60">
        <f t="shared" si="380"/>
        <v>0</v>
      </c>
      <c r="L678" s="61" t="e">
        <f>IF(F678&lt;&gt;0,K678/F678,0)</f>
        <v>#VALUE!</v>
      </c>
      <c r="M678" s="60" t="e">
        <f>+SUMIFS([51]section_article!$H$10:$H$936,[51]section_article!$C$10:$C$936,C678,[51]section_article!$D$10:$D$936,D678)</f>
        <v>#VALUE!</v>
      </c>
      <c r="N678" s="24" t="e">
        <f t="shared" ref="N675:N681" si="382">+J678-M678</f>
        <v>#VALUE!</v>
      </c>
      <c r="O678" s="9"/>
      <c r="Q678" s="63"/>
      <c r="AJ678" s="64"/>
      <c r="AK678" s="64"/>
      <c r="AL678" s="64"/>
      <c r="AM678" s="64"/>
      <c r="AN678" s="64"/>
      <c r="AO678" s="11">
        <v>1315111</v>
      </c>
      <c r="AP678" s="65" t="str">
        <f t="shared" si="381"/>
        <v>13151114</v>
      </c>
    </row>
    <row r="679" spans="1:42" s="62" customFormat="1" ht="27.75" hidden="1" customHeight="1" thickTop="1" thickBot="1" x14ac:dyDescent="0.3">
      <c r="A679" s="56" t="s">
        <v>22</v>
      </c>
      <c r="B679" s="56" t="s">
        <v>22</v>
      </c>
      <c r="C679" s="57">
        <f t="shared" si="378"/>
        <v>1315111</v>
      </c>
      <c r="D679" s="58">
        <v>5</v>
      </c>
      <c r="E679" s="59" t="str">
        <f t="shared" si="379"/>
        <v>IMMOBILISATION INCORPORELLE</v>
      </c>
      <c r="F679" s="60" t="e">
        <f>SUMIFS([49]mensuel_section_article1!$E$3:$E$962,[49]mensuel_section_article1!$B$3:$B$962,C679,[49]mensuel_section_article1!$C$3:$C$962,D679)</f>
        <v>#VALUE!</v>
      </c>
      <c r="G679" s="60" t="e">
        <f>SUMIFS([49]mensuel_section_article1!$G$3:$G$962,[49]mensuel_section_article1!$B$3:$B$962,C679,[49]mensuel_section_article1!$C$3:$C$962,D679)</f>
        <v>#VALUE!</v>
      </c>
      <c r="H679" s="60">
        <v>0</v>
      </c>
      <c r="I679" s="60">
        <v>250000</v>
      </c>
      <c r="J679" s="60">
        <v>249700</v>
      </c>
      <c r="K679" s="60">
        <f t="shared" si="380"/>
        <v>-249700</v>
      </c>
      <c r="L679" s="61" t="e">
        <f>IF(F679&lt;&gt;0,K679/F679,0)</f>
        <v>#VALUE!</v>
      </c>
      <c r="M679" s="60" t="e">
        <f>+SUMIFS([51]section_article!$H$10:$H$936,[51]section_article!$C$10:$C$936,C679,[51]section_article!$D$10:$D$936,D679)</f>
        <v>#VALUE!</v>
      </c>
      <c r="N679" s="24" t="e">
        <f t="shared" si="382"/>
        <v>#VALUE!</v>
      </c>
      <c r="O679" s="9"/>
      <c r="Q679" s="63"/>
      <c r="AJ679" s="64"/>
      <c r="AK679" s="64"/>
      <c r="AL679" s="64"/>
      <c r="AM679" s="64"/>
      <c r="AN679" s="64"/>
      <c r="AO679" s="11">
        <v>1315111</v>
      </c>
      <c r="AP679" s="65" t="str">
        <f t="shared" si="381"/>
        <v>13151115</v>
      </c>
    </row>
    <row r="680" spans="1:42" s="62" customFormat="1" ht="27.75" customHeight="1" thickTop="1" thickBot="1" x14ac:dyDescent="0.3">
      <c r="A680" s="56" t="s">
        <v>22</v>
      </c>
      <c r="B680" s="56" t="s">
        <v>22</v>
      </c>
      <c r="C680" s="57">
        <f t="shared" si="378"/>
        <v>1315111</v>
      </c>
      <c r="D680" s="58">
        <v>7</v>
      </c>
      <c r="E680" s="59" t="str">
        <f t="shared" si="379"/>
        <v>SUBVENTIONS,QUOTES-PARTS ET CONTRIB.,ALLOC, INDEMNISATIONS</v>
      </c>
      <c r="F680" s="60" t="e">
        <f>SUMIFS([49]mensuel_section_article1!$E$3:$E$962,[49]mensuel_section_article1!$B$3:$B$962,C680,[49]mensuel_section_article1!$C$3:$C$962,D680)</f>
        <v>#VALUE!</v>
      </c>
      <c r="G680" s="60" t="e">
        <f>SUMIFS([49]mensuel_section_article1!$G$3:$G$962,[49]mensuel_section_article1!$B$3:$B$962,C680,[49]mensuel_section_article1!$C$3:$C$962,D680)</f>
        <v>#VALUE!</v>
      </c>
      <c r="H680" s="60">
        <v>1299992</v>
      </c>
      <c r="I680" s="60">
        <v>1379992</v>
      </c>
      <c r="J680" s="60">
        <v>1000000</v>
      </c>
      <c r="K680" s="60">
        <f t="shared" si="380"/>
        <v>299992</v>
      </c>
      <c r="L680" s="61">
        <f t="shared" ref="L680:L686" si="383">+J680/H680</f>
        <v>0.76923550298771071</v>
      </c>
      <c r="M680" s="60"/>
      <c r="N680" s="24"/>
      <c r="O680" s="9"/>
      <c r="Q680" s="63"/>
      <c r="AJ680" s="64"/>
      <c r="AK680" s="64"/>
      <c r="AL680" s="64"/>
      <c r="AM680" s="64"/>
      <c r="AN680" s="64"/>
      <c r="AO680" s="11">
        <v>1315111</v>
      </c>
      <c r="AP680" s="65" t="str">
        <f t="shared" si="381"/>
        <v>13151117</v>
      </c>
    </row>
    <row r="681" spans="1:42" s="62" customFormat="1" ht="27.75" customHeight="1" thickTop="1" thickBot="1" x14ac:dyDescent="0.3">
      <c r="A681" s="56" t="s">
        <v>22</v>
      </c>
      <c r="B681" s="56" t="s">
        <v>22</v>
      </c>
      <c r="C681" s="57">
        <f t="shared" si="378"/>
        <v>1315111</v>
      </c>
      <c r="D681" s="58">
        <v>9</v>
      </c>
      <c r="E681" s="59" t="str">
        <f t="shared" si="379"/>
        <v>AUTRES DEPENSES PUBLIQUES</v>
      </c>
      <c r="F681" s="60" t="e">
        <f>SUMIFS([49]mensuel_section_article1!$E$3:$E$962,[49]mensuel_section_article1!$B$3:$B$962,C681,[49]mensuel_section_article1!$C$3:$C$962,D681)</f>
        <v>#VALUE!</v>
      </c>
      <c r="G681" s="60" t="e">
        <f>SUMIFS([49]mensuel_section_article1!$G$3:$G$962,[49]mensuel_section_article1!$B$3:$B$962,C681,[49]mensuel_section_article1!$C$3:$C$962,D681)</f>
        <v>#VALUE!</v>
      </c>
      <c r="H681" s="60">
        <v>36000000</v>
      </c>
      <c r="I681" s="60">
        <v>32786620</v>
      </c>
      <c r="J681" s="60">
        <v>32784620</v>
      </c>
      <c r="K681" s="60">
        <f t="shared" si="380"/>
        <v>3215380</v>
      </c>
      <c r="L681" s="61">
        <f t="shared" si="383"/>
        <v>0.91068388888888885</v>
      </c>
      <c r="M681" s="60"/>
      <c r="N681" s="24"/>
      <c r="O681" s="64"/>
      <c r="P681" s="64"/>
      <c r="Q681" s="64"/>
      <c r="R681" s="64"/>
      <c r="S681" s="64"/>
      <c r="T681" s="64"/>
      <c r="U681" s="64"/>
      <c r="V681" s="64"/>
      <c r="W681" s="64" t="e">
        <f>SUM(#REF!)</f>
        <v>#REF!</v>
      </c>
      <c r="X681" s="64" t="e">
        <f>SUM(#REF!)</f>
        <v>#REF!</v>
      </c>
      <c r="Y681" s="64" t="e">
        <f>SUM(#REF!)</f>
        <v>#REF!</v>
      </c>
      <c r="Z681" s="64" t="e">
        <f>SUM(#REF!)</f>
        <v>#REF!</v>
      </c>
      <c r="AA681" s="64" t="e">
        <f>SUM(#REF!)</f>
        <v>#REF!</v>
      </c>
      <c r="AB681" s="64" t="e">
        <f>SUM(#REF!)</f>
        <v>#REF!</v>
      </c>
      <c r="AC681" s="64" t="e">
        <f>SUM(#REF!)</f>
        <v>#REF!</v>
      </c>
      <c r="AD681" s="64" t="e">
        <f>SUM(#REF!)</f>
        <v>#REF!</v>
      </c>
      <c r="AE681" s="64" t="e">
        <f>SUM(#REF!)</f>
        <v>#REF!</v>
      </c>
      <c r="AF681" s="64" t="e">
        <f>SUM(#REF!)</f>
        <v>#REF!</v>
      </c>
      <c r="AG681" s="64" t="e">
        <f>SUM(#REF!)</f>
        <v>#REF!</v>
      </c>
      <c r="AH681" s="64" t="e">
        <f>SUM(#REF!)</f>
        <v>#REF!</v>
      </c>
      <c r="AI681" s="64" t="e">
        <f>SUM(#REF!)</f>
        <v>#REF!</v>
      </c>
      <c r="AJ681" s="64" t="e">
        <f>SUM(#REF!)</f>
        <v>#REF!</v>
      </c>
      <c r="AK681" s="64"/>
      <c r="AL681" s="64"/>
      <c r="AM681" s="64"/>
      <c r="AN681" s="64" t="e">
        <f>SUM(#REF!)</f>
        <v>#REF!</v>
      </c>
      <c r="AO681" s="11">
        <v>1315111</v>
      </c>
      <c r="AP681" s="65" t="str">
        <f t="shared" si="381"/>
        <v>13151119</v>
      </c>
    </row>
    <row r="682" spans="1:42" s="1" customFormat="1" ht="27.75" customHeight="1" thickTop="1" thickBot="1" x14ac:dyDescent="0.3">
      <c r="A682" s="50" t="s">
        <v>20</v>
      </c>
      <c r="B682" s="50" t="s">
        <v>20</v>
      </c>
      <c r="C682" s="50" t="s">
        <v>20</v>
      </c>
      <c r="D682" s="51">
        <v>1315112</v>
      </c>
      <c r="E682" s="67" t="s">
        <v>23</v>
      </c>
      <c r="F682" s="68" t="e">
        <f>SUMIF($B$683:$B$689,"article",F683:F689)</f>
        <v>#VALUE!</v>
      </c>
      <c r="G682" s="68" t="e">
        <f>SUMIF($B$683:$B$689,"article",G683:G689)</f>
        <v>#VALUE!</v>
      </c>
      <c r="H682" s="68">
        <f>SUMIF($B$683:$B$689,"article",H683:H689)</f>
        <v>600545324.80000007</v>
      </c>
      <c r="I682" s="68">
        <v>393353773.78999996</v>
      </c>
      <c r="J682" s="68">
        <f>SUMIF($B$683:$B$689,"article",J683:J689)</f>
        <v>271813759.08999997</v>
      </c>
      <c r="K682" s="68">
        <f>SUMIF($B$683:$B$689,"article",K683:K689)</f>
        <v>328731565.7100001</v>
      </c>
      <c r="L682" s="69">
        <f t="shared" si="383"/>
        <v>0.45261156463173241</v>
      </c>
      <c r="M682" s="68"/>
      <c r="N682" s="68"/>
      <c r="O682" s="9"/>
      <c r="Q682" s="23"/>
      <c r="AJ682" s="70"/>
      <c r="AK682" s="70"/>
      <c r="AL682" s="70"/>
      <c r="AM682" s="70"/>
      <c r="AN682" s="70"/>
      <c r="AO682" s="11">
        <v>1315112</v>
      </c>
    </row>
    <row r="683" spans="1:42" s="62" customFormat="1" ht="27.75" customHeight="1" thickTop="1" thickBot="1" x14ac:dyDescent="0.3">
      <c r="A683" s="56" t="s">
        <v>22</v>
      </c>
      <c r="B683" s="56" t="s">
        <v>22</v>
      </c>
      <c r="C683" s="57">
        <f t="shared" ref="C683:C689" si="384">IF(A682="SECTION",D682,C682)</f>
        <v>1315112</v>
      </c>
      <c r="D683" s="58">
        <v>1</v>
      </c>
      <c r="E683" s="59" t="str">
        <f t="shared" ref="E683:E689" si="385">IF(D683=1, "DEPENSES DE PERSONNEL",  +IF(D683=2,"DEPENSES DE SERVICES ET CHARGES DIVERSES", +IF(D683=3,"ACHATS DE BIENS DE CONSOMMATION ET PETITS MATERIELS",+IF(D683=4,"IMMOBILISATION CORPORELLE",+IF(D683=5,"IMMOBILISATION INCORPORELLE",+IF(D683=7,"SUBVENTIONS,QUOTES-PARTS ET CONTRIB.,ALLOC, INDEMNISATIONS",+IF(D683=8,"AMORTISSEMENT DE LA DETTE",+IF(D683=9,"AUTRES DEPENSES PUBLIQUES",0))))))))</f>
        <v>DEPENSES DE PERSONNEL</v>
      </c>
      <c r="F683" s="60" t="e">
        <f>SUMIFS([49]mensuel_section_article1!$E$3:$E$962,[49]mensuel_section_article1!$B$3:$B$962,C683,[49]mensuel_section_article1!$C$3:$C$962,D683)</f>
        <v>#VALUE!</v>
      </c>
      <c r="G683" s="60" t="e">
        <f>SUMIFS([49]mensuel_section_article1!$G$3:$G$962,[49]mensuel_section_article1!$B$3:$B$962,C683,[49]mensuel_section_article1!$C$3:$C$962,D683)</f>
        <v>#VALUE!</v>
      </c>
      <c r="H683" s="60">
        <v>257990120.80000007</v>
      </c>
      <c r="I683" s="60">
        <v>61008310.789999984</v>
      </c>
      <c r="J683" s="60">
        <v>60857568.969999999</v>
      </c>
      <c r="K683" s="60">
        <f t="shared" ref="K683:K689" si="386">+H683-J683</f>
        <v>197132551.83000007</v>
      </c>
      <c r="L683" s="61">
        <f t="shared" si="383"/>
        <v>0.23589108288831803</v>
      </c>
      <c r="M683" s="60"/>
      <c r="N683" s="24"/>
      <c r="O683" s="9"/>
      <c r="Q683" s="63"/>
      <c r="AJ683" s="64"/>
      <c r="AK683" s="64"/>
      <c r="AL683" s="64"/>
      <c r="AM683" s="64"/>
      <c r="AN683" s="64"/>
      <c r="AO683" s="11">
        <v>1315112</v>
      </c>
      <c r="AP683" s="65" t="str">
        <f t="shared" ref="AP683:AP689" si="387">CONCATENATE(AO683,D683)</f>
        <v>13151121</v>
      </c>
    </row>
    <row r="684" spans="1:42" s="62" customFormat="1" ht="27.75" customHeight="1" thickTop="1" thickBot="1" x14ac:dyDescent="0.3">
      <c r="A684" s="56" t="s">
        <v>22</v>
      </c>
      <c r="B684" s="56" t="s">
        <v>22</v>
      </c>
      <c r="C684" s="57">
        <f t="shared" si="384"/>
        <v>1315112</v>
      </c>
      <c r="D684" s="58">
        <v>2</v>
      </c>
      <c r="E684" s="59" t="str">
        <f t="shared" si="385"/>
        <v>DEPENSES DE SERVICES ET CHARGES DIVERSES</v>
      </c>
      <c r="F684" s="60" t="e">
        <f>SUMIFS([49]mensuel_section_article1!$E$3:$E$962,[49]mensuel_section_article1!$B$3:$B$962,C684,[49]mensuel_section_article1!$C$3:$C$962,D684)</f>
        <v>#VALUE!</v>
      </c>
      <c r="G684" s="60" t="e">
        <f>SUMIFS([49]mensuel_section_article1!$G$3:$G$962,[49]mensuel_section_article1!$B$3:$B$962,C684,[49]mensuel_section_article1!$C$3:$C$962,D684)</f>
        <v>#VALUE!</v>
      </c>
      <c r="H684" s="60">
        <v>38390187.996000007</v>
      </c>
      <c r="I684" s="60">
        <v>48263998</v>
      </c>
      <c r="J684" s="60">
        <v>28341588.100000001</v>
      </c>
      <c r="K684" s="60">
        <f t="shared" si="386"/>
        <v>10048599.896000005</v>
      </c>
      <c r="L684" s="61">
        <f t="shared" si="383"/>
        <v>0.73825082864801284</v>
      </c>
      <c r="M684" s="60"/>
      <c r="N684" s="24"/>
      <c r="O684" s="9"/>
      <c r="P684" s="103"/>
      <c r="Q684" s="63"/>
      <c r="AJ684" s="64"/>
      <c r="AK684" s="64"/>
      <c r="AL684" s="64"/>
      <c r="AM684" s="64"/>
      <c r="AN684" s="64"/>
      <c r="AO684" s="11">
        <v>1315112</v>
      </c>
      <c r="AP684" s="65" t="str">
        <f t="shared" si="387"/>
        <v>13151122</v>
      </c>
    </row>
    <row r="685" spans="1:42" s="62" customFormat="1" ht="27.75" customHeight="1" thickTop="1" thickBot="1" x14ac:dyDescent="0.3">
      <c r="A685" s="56" t="s">
        <v>22</v>
      </c>
      <c r="B685" s="56" t="s">
        <v>22</v>
      </c>
      <c r="C685" s="57">
        <f t="shared" si="384"/>
        <v>1315112</v>
      </c>
      <c r="D685" s="58">
        <v>3</v>
      </c>
      <c r="E685" s="59" t="str">
        <f t="shared" si="385"/>
        <v>ACHATS DE BIENS DE CONSOMMATION ET PETITS MATERIELS</v>
      </c>
      <c r="F685" s="60" t="e">
        <f>SUMIFS([49]mensuel_section_article1!$E$3:$E$962,[49]mensuel_section_article1!$B$3:$B$962,C685,[49]mensuel_section_article1!$C$3:$C$962,D685)</f>
        <v>#VALUE!</v>
      </c>
      <c r="G685" s="60" t="e">
        <f>SUMIFS([49]mensuel_section_article1!$G$3:$G$962,[49]mensuel_section_article1!$B$3:$B$962,C685,[49]mensuel_section_article1!$C$3:$C$962,D685)</f>
        <v>#VALUE!</v>
      </c>
      <c r="H685" s="60">
        <v>61020374.003999993</v>
      </c>
      <c r="I685" s="60">
        <v>142295329</v>
      </c>
      <c r="J685" s="60">
        <v>138753117.01999998</v>
      </c>
      <c r="K685" s="60">
        <f t="shared" si="386"/>
        <v>-77732743.015999988</v>
      </c>
      <c r="L685" s="61">
        <f t="shared" si="383"/>
        <v>2.2738817859573341</v>
      </c>
      <c r="M685" s="60"/>
      <c r="N685" s="24"/>
      <c r="O685" s="9"/>
      <c r="Q685" s="66"/>
      <c r="AJ685" s="64"/>
      <c r="AK685" s="64"/>
      <c r="AL685" s="64"/>
      <c r="AM685" s="64"/>
      <c r="AN685" s="64"/>
      <c r="AO685" s="11">
        <v>1315112</v>
      </c>
      <c r="AP685" s="65" t="str">
        <f t="shared" si="387"/>
        <v>13151123</v>
      </c>
    </row>
    <row r="686" spans="1:42" s="62" customFormat="1" ht="27.75" customHeight="1" thickTop="1" thickBot="1" x14ac:dyDescent="0.3">
      <c r="A686" s="56" t="s">
        <v>22</v>
      </c>
      <c r="B686" s="56" t="s">
        <v>22</v>
      </c>
      <c r="C686" s="57">
        <f t="shared" si="384"/>
        <v>1315112</v>
      </c>
      <c r="D686" s="58">
        <v>4</v>
      </c>
      <c r="E686" s="59" t="str">
        <f t="shared" si="385"/>
        <v>IMMOBILISATION CORPORELLE</v>
      </c>
      <c r="F686" s="60" t="e">
        <f>SUMIFS([49]mensuel_section_article1!$E$3:$E$962,[49]mensuel_section_article1!$B$3:$B$962,C686,[49]mensuel_section_article1!$C$3:$C$962,D686)</f>
        <v>#VALUE!</v>
      </c>
      <c r="G686" s="60" t="e">
        <f>SUMIFS([49]mensuel_section_article1!$G$3:$G$962,[49]mensuel_section_article1!$B$3:$B$962,C686,[49]mensuel_section_article1!$C$3:$C$962,D686)</f>
        <v>#VALUE!</v>
      </c>
      <c r="H686" s="60">
        <v>15061522</v>
      </c>
      <c r="I686" s="60">
        <v>40016282</v>
      </c>
      <c r="J686" s="60">
        <v>7635485</v>
      </c>
      <c r="K686" s="60">
        <f t="shared" si="386"/>
        <v>7426037</v>
      </c>
      <c r="L686" s="61">
        <f t="shared" si="383"/>
        <v>0.50695308216526858</v>
      </c>
      <c r="M686" s="60"/>
      <c r="N686" s="24"/>
      <c r="O686" s="9"/>
      <c r="Q686" s="63"/>
      <c r="AJ686" s="64"/>
      <c r="AK686" s="64"/>
      <c r="AL686" s="64"/>
      <c r="AM686" s="64"/>
      <c r="AN686" s="64"/>
      <c r="AO686" s="11">
        <v>1315112</v>
      </c>
      <c r="AP686" s="65" t="str">
        <f t="shared" si="387"/>
        <v>13151124</v>
      </c>
    </row>
    <row r="687" spans="1:42" s="62" customFormat="1" ht="27.75" hidden="1" customHeight="1" thickTop="1" thickBot="1" x14ac:dyDescent="0.3">
      <c r="A687" s="56" t="s">
        <v>22</v>
      </c>
      <c r="B687" s="56" t="s">
        <v>22</v>
      </c>
      <c r="C687" s="57">
        <f t="shared" si="384"/>
        <v>1315112</v>
      </c>
      <c r="D687" s="58">
        <v>5</v>
      </c>
      <c r="E687" s="59" t="str">
        <f t="shared" si="385"/>
        <v>IMMOBILISATION INCORPORELLE</v>
      </c>
      <c r="F687" s="60" t="e">
        <f>SUMIFS([49]mensuel_section_article1!$E$3:$E$962,[49]mensuel_section_article1!$B$3:$B$962,C687,[49]mensuel_section_article1!$C$3:$C$962,D687)</f>
        <v>#VALUE!</v>
      </c>
      <c r="G687" s="60" t="e">
        <f>SUMIFS([49]mensuel_section_article1!$G$3:$G$962,[49]mensuel_section_article1!$B$3:$B$962,C687,[49]mensuel_section_article1!$C$3:$C$962,D687)</f>
        <v>#VALUE!</v>
      </c>
      <c r="H687" s="60">
        <v>0</v>
      </c>
      <c r="I687" s="60">
        <v>0</v>
      </c>
      <c r="J687" s="60">
        <v>0</v>
      </c>
      <c r="K687" s="60">
        <f t="shared" si="386"/>
        <v>0</v>
      </c>
      <c r="L687" s="61" t="e">
        <f>IF(F687&lt;&gt;0,K687/F687,0)</f>
        <v>#VALUE!</v>
      </c>
      <c r="M687" s="60" t="e">
        <f>+SUMIFS([51]section_article!$H$10:$H$936,[51]section_article!$C$10:$C$936,C687,[51]section_article!$D$10:$D$936,D687)</f>
        <v>#VALUE!</v>
      </c>
      <c r="N687" s="24" t="e">
        <f t="shared" ref="N683:N689" si="388">+J687-M687</f>
        <v>#VALUE!</v>
      </c>
      <c r="O687" s="9"/>
      <c r="Q687" s="63"/>
      <c r="AJ687" s="64"/>
      <c r="AK687" s="64"/>
      <c r="AL687" s="64"/>
      <c r="AM687" s="64"/>
      <c r="AN687" s="64"/>
      <c r="AO687" s="11">
        <v>1315112</v>
      </c>
      <c r="AP687" s="65" t="str">
        <f t="shared" si="387"/>
        <v>13151125</v>
      </c>
    </row>
    <row r="688" spans="1:42" s="62" customFormat="1" ht="27.75" customHeight="1" thickTop="1" thickBot="1" x14ac:dyDescent="0.3">
      <c r="A688" s="56" t="s">
        <v>22</v>
      </c>
      <c r="B688" s="56" t="s">
        <v>22</v>
      </c>
      <c r="C688" s="57">
        <f t="shared" si="384"/>
        <v>1315112</v>
      </c>
      <c r="D688" s="58">
        <v>7</v>
      </c>
      <c r="E688" s="59" t="str">
        <f t="shared" si="385"/>
        <v>SUBVENTIONS,QUOTES-PARTS ET CONTRIB.,ALLOC, INDEMNISATIONS</v>
      </c>
      <c r="F688" s="60" t="e">
        <f>SUMIFS([49]mensuel_section_article1!$E$3:$E$962,[49]mensuel_section_article1!$B$3:$B$962,C688,[49]mensuel_section_article1!$C$3:$C$962,D688)</f>
        <v>#VALUE!</v>
      </c>
      <c r="G688" s="60" t="e">
        <f>SUMIFS([49]mensuel_section_article1!$G$3:$G$962,[49]mensuel_section_article1!$B$3:$B$962,C688,[49]mensuel_section_article1!$C$3:$C$962,D688)</f>
        <v>#VALUE!</v>
      </c>
      <c r="H688" s="60">
        <v>199996</v>
      </c>
      <c r="I688" s="60">
        <v>119996</v>
      </c>
      <c r="J688" s="60">
        <v>0</v>
      </c>
      <c r="K688" s="60">
        <f t="shared" si="386"/>
        <v>199996</v>
      </c>
      <c r="L688" s="61">
        <f t="shared" ref="L688:L697" si="389">+J688/H688</f>
        <v>0</v>
      </c>
      <c r="M688" s="60"/>
      <c r="N688" s="24"/>
      <c r="O688" s="9"/>
      <c r="Q688" s="63"/>
      <c r="AJ688" s="64"/>
      <c r="AK688" s="64"/>
      <c r="AL688" s="64"/>
      <c r="AM688" s="64"/>
      <c r="AN688" s="64"/>
      <c r="AO688" s="11">
        <v>1315112</v>
      </c>
      <c r="AP688" s="65" t="str">
        <f t="shared" si="387"/>
        <v>13151127</v>
      </c>
    </row>
    <row r="689" spans="1:42" s="62" customFormat="1" ht="27.75" customHeight="1" thickTop="1" thickBot="1" x14ac:dyDescent="0.3">
      <c r="A689" s="56" t="s">
        <v>22</v>
      </c>
      <c r="B689" s="56" t="s">
        <v>22</v>
      </c>
      <c r="C689" s="57">
        <f t="shared" si="384"/>
        <v>1315112</v>
      </c>
      <c r="D689" s="58">
        <v>9</v>
      </c>
      <c r="E689" s="59" t="str">
        <f t="shared" si="385"/>
        <v>AUTRES DEPENSES PUBLIQUES</v>
      </c>
      <c r="F689" s="60" t="e">
        <f>SUMIFS([49]mensuel_section_article1!$E$3:$E$962,[49]mensuel_section_article1!$B$3:$B$962,C689,[49]mensuel_section_article1!$C$3:$C$962,D689)</f>
        <v>#VALUE!</v>
      </c>
      <c r="G689" s="60" t="e">
        <f>SUMIFS([49]mensuel_section_article1!$G$3:$G$962,[49]mensuel_section_article1!$B$3:$B$962,C689,[49]mensuel_section_article1!$C$3:$C$962,D689)</f>
        <v>#VALUE!</v>
      </c>
      <c r="H689" s="60">
        <v>227883124</v>
      </c>
      <c r="I689" s="60">
        <v>101649858</v>
      </c>
      <c r="J689" s="60">
        <v>36226000</v>
      </c>
      <c r="K689" s="60">
        <f t="shared" si="386"/>
        <v>191657124</v>
      </c>
      <c r="L689" s="61">
        <f t="shared" si="389"/>
        <v>0.15896745386025163</v>
      </c>
      <c r="M689" s="60"/>
      <c r="N689" s="24"/>
      <c r="O689" s="64"/>
      <c r="P689" s="64"/>
      <c r="Q689" s="64"/>
      <c r="R689" s="64"/>
      <c r="S689" s="64"/>
      <c r="T689" s="64"/>
      <c r="U689" s="64"/>
      <c r="V689" s="64"/>
      <c r="W689" s="64" t="e">
        <f>SUM(#REF!)</f>
        <v>#REF!</v>
      </c>
      <c r="X689" s="64" t="e">
        <f>SUM(#REF!)</f>
        <v>#REF!</v>
      </c>
      <c r="Y689" s="64" t="e">
        <f>SUM(#REF!)</f>
        <v>#REF!</v>
      </c>
      <c r="Z689" s="64" t="e">
        <f>SUM(#REF!)</f>
        <v>#REF!</v>
      </c>
      <c r="AA689" s="64" t="e">
        <f>SUM(#REF!)</f>
        <v>#REF!</v>
      </c>
      <c r="AB689" s="64" t="e">
        <f>SUM(#REF!)</f>
        <v>#REF!</v>
      </c>
      <c r="AC689" s="64" t="e">
        <f>SUM(#REF!)</f>
        <v>#REF!</v>
      </c>
      <c r="AD689" s="64" t="e">
        <f>SUM(#REF!)</f>
        <v>#REF!</v>
      </c>
      <c r="AE689" s="64" t="e">
        <f>SUM(#REF!)</f>
        <v>#REF!</v>
      </c>
      <c r="AF689" s="64" t="e">
        <f>SUM(#REF!)</f>
        <v>#REF!</v>
      </c>
      <c r="AG689" s="64" t="e">
        <f>SUM(#REF!)</f>
        <v>#REF!</v>
      </c>
      <c r="AH689" s="64" t="e">
        <f>SUM(#REF!)</f>
        <v>#REF!</v>
      </c>
      <c r="AI689" s="64" t="e">
        <f>SUM(#REF!)</f>
        <v>#REF!</v>
      </c>
      <c r="AJ689" s="64" t="e">
        <f>SUM(#REF!)</f>
        <v>#REF!</v>
      </c>
      <c r="AK689" s="64"/>
      <c r="AL689" s="64"/>
      <c r="AM689" s="64"/>
      <c r="AN689" s="64" t="e">
        <f>SUM(#REF!)</f>
        <v>#REF!</v>
      </c>
      <c r="AO689" s="11">
        <v>1315112</v>
      </c>
      <c r="AP689" s="65" t="str">
        <f t="shared" si="387"/>
        <v>13151129</v>
      </c>
    </row>
    <row r="690" spans="1:42" s="1" customFormat="1" ht="27.75" customHeight="1" thickTop="1" x14ac:dyDescent="0.25">
      <c r="A690" s="31" t="s">
        <v>14</v>
      </c>
      <c r="B690" s="31" t="s">
        <v>14</v>
      </c>
      <c r="C690" s="31" t="s">
        <v>14</v>
      </c>
      <c r="D690" s="87">
        <v>14</v>
      </c>
      <c r="E690" s="88" t="s">
        <v>110</v>
      </c>
      <c r="F690" s="89" t="e">
        <f>SUMIF($B$691:$B$818,"MIN",F691:F818)</f>
        <v>#VALUE!</v>
      </c>
      <c r="G690" s="89" t="e">
        <f>SUMIF($B$691:$B$818,"MIN",G691:G818)</f>
        <v>#VALUE!</v>
      </c>
      <c r="H690" s="89">
        <f>SUMIF($B$691:$B$818,"MIN",H691:H818)</f>
        <v>1776036464.1409998</v>
      </c>
      <c r="I690" s="89">
        <v>1785109463.7000003</v>
      </c>
      <c r="J690" s="89">
        <f>SUMIF($B$691:$B$818,"MIN",J691:J818)</f>
        <v>1695569686.8900001</v>
      </c>
      <c r="K690" s="89">
        <f>SUMIF($B$691:$B$818,"MIN",K691:K818)</f>
        <v>80466777.250999898</v>
      </c>
      <c r="L690" s="90">
        <f t="shared" si="389"/>
        <v>0.95469306015069999</v>
      </c>
      <c r="M690" s="89"/>
      <c r="N690" s="89"/>
      <c r="O690" s="9"/>
      <c r="Q690" s="23"/>
      <c r="AK690" s="91"/>
      <c r="AL690" s="91"/>
      <c r="AM690" s="91"/>
      <c r="AN690" s="91"/>
      <c r="AO690" s="11"/>
    </row>
    <row r="691" spans="1:42" s="1" customFormat="1" ht="27.75" customHeight="1" x14ac:dyDescent="0.25">
      <c r="A691" s="37" t="s">
        <v>16</v>
      </c>
      <c r="B691" s="37" t="s">
        <v>16</v>
      </c>
      <c r="C691" s="37" t="s">
        <v>16</v>
      </c>
      <c r="D691" s="73">
        <v>1411</v>
      </c>
      <c r="E691" s="74" t="s">
        <v>111</v>
      </c>
      <c r="F691" s="75" t="e">
        <f>SUMIF($B$692:$B$700,"chap",F692:F700)</f>
        <v>#VALUE!</v>
      </c>
      <c r="G691" s="75" t="e">
        <f>SUMIF($B$692:$B$700,"chap",G692:G700)</f>
        <v>#VALUE!</v>
      </c>
      <c r="H691" s="75">
        <f>SUMIF($B$692:$B$700,"chap",H692:H700)</f>
        <v>191552089.92899996</v>
      </c>
      <c r="I691" s="75">
        <v>200625089.90000001</v>
      </c>
      <c r="J691" s="75">
        <f>SUMIF($B$692:$B$700,"chap",J692:J700)</f>
        <v>180400933.23000002</v>
      </c>
      <c r="K691" s="75">
        <f>SUMIF($B$692:$B$700,"chap",K692:K700)</f>
        <v>11151156.699000005</v>
      </c>
      <c r="L691" s="76">
        <f t="shared" si="389"/>
        <v>0.94178525171334238</v>
      </c>
      <c r="M691" s="75"/>
      <c r="N691" s="75"/>
      <c r="O691" s="9"/>
      <c r="Q691" s="23"/>
      <c r="AK691" s="77"/>
      <c r="AL691" s="77"/>
      <c r="AM691" s="77"/>
      <c r="AN691" s="77"/>
      <c r="AO691" s="11"/>
    </row>
    <row r="692" spans="1:42" s="49" customFormat="1" ht="27.75" customHeight="1" x14ac:dyDescent="0.25">
      <c r="A692" s="43" t="s">
        <v>19</v>
      </c>
      <c r="B692" s="43" t="s">
        <v>19</v>
      </c>
      <c r="C692" s="43" t="s">
        <v>19</v>
      </c>
      <c r="D692" s="44">
        <v>14111</v>
      </c>
      <c r="E692" s="45" t="str">
        <f>VLOOKUP(D692,[49]INST!$A$1:$B$626,2,FALSE)</f>
        <v>SERVICES INTERNES</v>
      </c>
      <c r="F692" s="46" t="e">
        <f>SUMIF($B$693:$B$700,"section",F693:F700)</f>
        <v>#VALUE!</v>
      </c>
      <c r="G692" s="46" t="e">
        <f>SUMIF($B$693:$B$700,"section",G693:G700)</f>
        <v>#VALUE!</v>
      </c>
      <c r="H692" s="46">
        <f>SUMIF($B$693:$B$700,"section",H693:H700)</f>
        <v>191552089.92899996</v>
      </c>
      <c r="I692" s="46">
        <v>200625089.90000001</v>
      </c>
      <c r="J692" s="46">
        <f>SUMIF($B$693:$B$700,"section",J693:J700)</f>
        <v>180400933.23000002</v>
      </c>
      <c r="K692" s="46">
        <f>SUMIF($B$693:$B$700,"section",K693:K700)</f>
        <v>11151156.699000005</v>
      </c>
      <c r="L692" s="47">
        <f t="shared" si="389"/>
        <v>0.94178525171334238</v>
      </c>
      <c r="M692" s="46"/>
      <c r="N692" s="46"/>
      <c r="O692" s="48"/>
      <c r="AO692" s="11"/>
    </row>
    <row r="693" spans="1:42" s="1" customFormat="1" ht="27.75" customHeight="1" thickBot="1" x14ac:dyDescent="0.3">
      <c r="A693" s="50" t="s">
        <v>20</v>
      </c>
      <c r="B693" s="50" t="s">
        <v>20</v>
      </c>
      <c r="C693" s="50" t="s">
        <v>20</v>
      </c>
      <c r="D693" s="51">
        <v>1411112</v>
      </c>
      <c r="E693" s="67" t="s">
        <v>23</v>
      </c>
      <c r="F693" s="68" t="e">
        <f>SUMIF($B$694:$B$700,"article",F694:F700)</f>
        <v>#VALUE!</v>
      </c>
      <c r="G693" s="68" t="e">
        <f>SUMIF($B$694:$B$700,"article",G694:G700)</f>
        <v>#VALUE!</v>
      </c>
      <c r="H693" s="68">
        <f>SUMIF($B$694:$B$700,"article",H694:H700)</f>
        <v>191552089.92899996</v>
      </c>
      <c r="I693" s="68">
        <v>200625089.90000001</v>
      </c>
      <c r="J693" s="68">
        <f>SUMIF($B$694:$B$700,"article",J694:J700)</f>
        <v>180400933.23000002</v>
      </c>
      <c r="K693" s="68">
        <f>SUMIF($B$694:$B$700,"article",K694:K700)</f>
        <v>11151156.699000005</v>
      </c>
      <c r="L693" s="69">
        <f t="shared" si="389"/>
        <v>0.94178525171334238</v>
      </c>
      <c r="M693" s="68"/>
      <c r="N693" s="68"/>
      <c r="O693" s="9"/>
      <c r="Q693" s="23"/>
      <c r="AK693" s="70"/>
      <c r="AL693" s="70"/>
      <c r="AM693" s="70"/>
      <c r="AN693" s="70"/>
      <c r="AO693" s="11">
        <v>1411112</v>
      </c>
    </row>
    <row r="694" spans="1:42" s="62" customFormat="1" ht="27.75" customHeight="1" thickTop="1" thickBot="1" x14ac:dyDescent="0.3">
      <c r="A694" s="56" t="s">
        <v>22</v>
      </c>
      <c r="B694" s="56" t="s">
        <v>22</v>
      </c>
      <c r="C694" s="57">
        <f t="shared" ref="C694:C700" si="390">IF(A693="SECTION",D693,C693)</f>
        <v>1411112</v>
      </c>
      <c r="D694" s="58">
        <v>1</v>
      </c>
      <c r="E694" s="59" t="str">
        <f t="shared" ref="E694:E700" si="391">IF(D694=1, "DEPENSES DE PERSONNEL",  +IF(D694=2,"DEPENSES DE SERVICES ET CHARGES DIVERSES", +IF(D694=3,"ACHATS DE BIENS DE CONSOMMATION ET PETITS MATERIELS",+IF(D694=4,"IMMOBILISATION CORPORELLE",+IF(D694=5,"IMMOBILISATION INCORPORELLE",+IF(D694=7,"SUBVENTIONS,QUOTES-PARTS ET CONTRIB.,ALLOC, INDEMNISATIONS",+IF(D694=8,"AMORTISSEMENT DE LA DETTE",+IF(D694=9,"AUTRES DEPENSES PUBLIQUES",0))))))))</f>
        <v>DEPENSES DE PERSONNEL</v>
      </c>
      <c r="F694" s="60" t="e">
        <f>SUMIFS([49]mensuel_section_article1!$E$3:$E$962,[49]mensuel_section_article1!$B$3:$B$962,C694,[49]mensuel_section_article1!$C$3:$C$962,D694)</f>
        <v>#VALUE!</v>
      </c>
      <c r="G694" s="60" t="e">
        <f>SUMIFS([49]mensuel_section_article1!$G$3:$G$962,[49]mensuel_section_article1!$B$3:$B$962,C694,[49]mensuel_section_article1!$C$3:$C$962,D694)</f>
        <v>#VALUE!</v>
      </c>
      <c r="H694" s="60">
        <v>90218763</v>
      </c>
      <c r="I694" s="60">
        <v>99291763</v>
      </c>
      <c r="J694" s="60">
        <v>90157731.599999994</v>
      </c>
      <c r="K694" s="60">
        <f t="shared" ref="K694:K700" si="392">+H694-J694</f>
        <v>61031.40000000596</v>
      </c>
      <c r="L694" s="61">
        <f t="shared" si="389"/>
        <v>0.99932351765895966</v>
      </c>
      <c r="M694" s="60"/>
      <c r="N694" s="24"/>
      <c r="O694" s="9"/>
      <c r="Q694" s="63"/>
      <c r="AK694" s="64"/>
      <c r="AL694" s="64"/>
      <c r="AM694" s="64"/>
      <c r="AN694" s="64"/>
      <c r="AO694" s="11">
        <v>1411112</v>
      </c>
      <c r="AP694" s="65" t="str">
        <f t="shared" ref="AP694:AP700" si="393">CONCATENATE(AO694,D694)</f>
        <v>14111121</v>
      </c>
    </row>
    <row r="695" spans="1:42" s="62" customFormat="1" ht="27.75" customHeight="1" thickTop="1" thickBot="1" x14ac:dyDescent="0.3">
      <c r="A695" s="56" t="s">
        <v>22</v>
      </c>
      <c r="B695" s="56" t="s">
        <v>22</v>
      </c>
      <c r="C695" s="57">
        <f t="shared" si="390"/>
        <v>1411112</v>
      </c>
      <c r="D695" s="58">
        <v>2</v>
      </c>
      <c r="E695" s="59" t="str">
        <f t="shared" si="391"/>
        <v>DEPENSES DE SERVICES ET CHARGES DIVERSES</v>
      </c>
      <c r="F695" s="60" t="e">
        <f>SUMIFS([49]mensuel_section_article1!$E$3:$E$962,[49]mensuel_section_article1!$B$3:$B$962,C695,[49]mensuel_section_article1!$C$3:$C$962,D695)</f>
        <v>#VALUE!</v>
      </c>
      <c r="G695" s="60" t="e">
        <f>SUMIFS([49]mensuel_section_article1!$G$3:$G$962,[49]mensuel_section_article1!$B$3:$B$962,C695,[49]mensuel_section_article1!$C$3:$C$962,D695)</f>
        <v>#VALUE!</v>
      </c>
      <c r="H695" s="60">
        <v>16585515.739</v>
      </c>
      <c r="I695" s="60">
        <v>16585515.700000001</v>
      </c>
      <c r="J695" s="60">
        <v>14432209.15</v>
      </c>
      <c r="K695" s="60">
        <f t="shared" si="392"/>
        <v>2153306.5889999997</v>
      </c>
      <c r="L695" s="61">
        <f t="shared" si="389"/>
        <v>0.87016945249784372</v>
      </c>
      <c r="M695" s="60"/>
      <c r="N695" s="24"/>
      <c r="O695" s="9"/>
      <c r="Q695" s="63"/>
      <c r="AK695" s="64"/>
      <c r="AL695" s="64"/>
      <c r="AM695" s="64"/>
      <c r="AN695" s="64"/>
      <c r="AO695" s="11">
        <v>1411112</v>
      </c>
      <c r="AP695" s="65" t="str">
        <f t="shared" si="393"/>
        <v>14111122</v>
      </c>
    </row>
    <row r="696" spans="1:42" s="62" customFormat="1" ht="27.75" customHeight="1" thickTop="1" thickBot="1" x14ac:dyDescent="0.3">
      <c r="A696" s="56" t="s">
        <v>22</v>
      </c>
      <c r="B696" s="56" t="s">
        <v>22</v>
      </c>
      <c r="C696" s="57">
        <f t="shared" si="390"/>
        <v>1411112</v>
      </c>
      <c r="D696" s="58">
        <v>3</v>
      </c>
      <c r="E696" s="59" t="str">
        <f t="shared" si="391"/>
        <v>ACHATS DE BIENS DE CONSOMMATION ET PETITS MATERIELS</v>
      </c>
      <c r="F696" s="60" t="e">
        <f>SUMIFS([49]mensuel_section_article1!$E$3:$E$962,[49]mensuel_section_article1!$B$3:$B$962,C696,[49]mensuel_section_article1!$C$3:$C$962,D696)</f>
        <v>#VALUE!</v>
      </c>
      <c r="G696" s="60" t="e">
        <f>SUMIFS([49]mensuel_section_article1!$G$3:$G$962,[49]mensuel_section_article1!$B$3:$B$962,C696,[49]mensuel_section_article1!$C$3:$C$962,D696)</f>
        <v>#VALUE!</v>
      </c>
      <c r="H696" s="60">
        <v>11904352</v>
      </c>
      <c r="I696" s="60">
        <v>11904352.000000002</v>
      </c>
      <c r="J696" s="60">
        <v>11319851.560000001</v>
      </c>
      <c r="K696" s="60">
        <f t="shared" si="392"/>
        <v>584500.43999999948</v>
      </c>
      <c r="L696" s="61">
        <f t="shared" si="389"/>
        <v>0.95090027243818065</v>
      </c>
      <c r="M696" s="60"/>
      <c r="N696" s="24"/>
      <c r="O696" s="9"/>
      <c r="Q696" s="63"/>
      <c r="AK696" s="64"/>
      <c r="AL696" s="64"/>
      <c r="AM696" s="64"/>
      <c r="AN696" s="64"/>
      <c r="AO696" s="11">
        <v>1411112</v>
      </c>
      <c r="AP696" s="65" t="str">
        <f t="shared" si="393"/>
        <v>14111123</v>
      </c>
    </row>
    <row r="697" spans="1:42" s="62" customFormat="1" ht="27.75" customHeight="1" thickTop="1" thickBot="1" x14ac:dyDescent="0.3">
      <c r="A697" s="56" t="s">
        <v>22</v>
      </c>
      <c r="B697" s="56" t="s">
        <v>22</v>
      </c>
      <c r="C697" s="57">
        <f t="shared" si="390"/>
        <v>1411112</v>
      </c>
      <c r="D697" s="58">
        <v>4</v>
      </c>
      <c r="E697" s="59" t="str">
        <f t="shared" si="391"/>
        <v>IMMOBILISATION CORPORELLE</v>
      </c>
      <c r="F697" s="60" t="e">
        <f>SUMIFS([49]mensuel_section_article1!$E$3:$E$962,[49]mensuel_section_article1!$B$3:$B$962,C697,[49]mensuel_section_article1!$C$3:$C$962,D697)</f>
        <v>#VALUE!</v>
      </c>
      <c r="G697" s="60" t="e">
        <f>SUMIFS([49]mensuel_section_article1!$G$3:$G$962,[49]mensuel_section_article1!$B$3:$B$962,C697,[49]mensuel_section_article1!$C$3:$C$962,D697)</f>
        <v>#VALUE!</v>
      </c>
      <c r="H697" s="60">
        <v>9405975.2400000002</v>
      </c>
      <c r="I697" s="60">
        <v>9405975.1999999993</v>
      </c>
      <c r="J697" s="60">
        <v>2977140.92</v>
      </c>
      <c r="K697" s="60">
        <f t="shared" si="392"/>
        <v>6428834.3200000003</v>
      </c>
      <c r="L697" s="61">
        <f t="shared" si="389"/>
        <v>0.31651592142613377</v>
      </c>
      <c r="M697" s="60"/>
      <c r="N697" s="24"/>
      <c r="O697" s="9"/>
      <c r="Q697" s="63"/>
      <c r="AK697" s="64"/>
      <c r="AL697" s="64"/>
      <c r="AM697" s="64"/>
      <c r="AN697" s="64"/>
      <c r="AO697" s="11">
        <v>1411112</v>
      </c>
      <c r="AP697" s="65" t="str">
        <f t="shared" si="393"/>
        <v>14111124</v>
      </c>
    </row>
    <row r="698" spans="1:42" s="62" customFormat="1" ht="27.75" hidden="1" customHeight="1" thickTop="1" thickBot="1" x14ac:dyDescent="0.3">
      <c r="A698" s="56" t="s">
        <v>22</v>
      </c>
      <c r="B698" s="56" t="s">
        <v>22</v>
      </c>
      <c r="C698" s="57">
        <f t="shared" si="390"/>
        <v>1411112</v>
      </c>
      <c r="D698" s="58">
        <v>5</v>
      </c>
      <c r="E698" s="59" t="str">
        <f t="shared" si="391"/>
        <v>IMMOBILISATION INCORPORELLE</v>
      </c>
      <c r="F698" s="60" t="e">
        <f>SUMIFS([49]mensuel_section_article1!$E$3:$E$962,[49]mensuel_section_article1!$B$3:$B$962,C698,[49]mensuel_section_article1!$C$3:$C$962,D698)</f>
        <v>#VALUE!</v>
      </c>
      <c r="G698" s="60" t="e">
        <f>SUMIFS([49]mensuel_section_article1!$G$3:$G$962,[49]mensuel_section_article1!$B$3:$B$962,C698,[49]mensuel_section_article1!$C$3:$C$962,D698)</f>
        <v>#VALUE!</v>
      </c>
      <c r="H698" s="60">
        <v>0</v>
      </c>
      <c r="I698" s="60">
        <v>0</v>
      </c>
      <c r="J698" s="60">
        <v>0</v>
      </c>
      <c r="K698" s="60">
        <f t="shared" si="392"/>
        <v>0</v>
      </c>
      <c r="L698" s="61" t="e">
        <f>IF(F698&lt;&gt;0,K698/F698,0)</f>
        <v>#VALUE!</v>
      </c>
      <c r="M698" s="60" t="e">
        <f>+SUMIFS([51]section_article!$H$10:$H$936,[51]section_article!$C$10:$C$936,C698,[51]section_article!$D$10:$D$936,D698)</f>
        <v>#VALUE!</v>
      </c>
      <c r="N698" s="24" t="e">
        <f t="shared" ref="N694:N700" si="394">+J698-M698</f>
        <v>#VALUE!</v>
      </c>
      <c r="O698" s="9"/>
      <c r="Q698" s="63"/>
      <c r="AK698" s="64"/>
      <c r="AL698" s="64"/>
      <c r="AM698" s="64"/>
      <c r="AN698" s="64"/>
      <c r="AO698" s="11">
        <v>1411112</v>
      </c>
      <c r="AP698" s="65" t="str">
        <f t="shared" si="393"/>
        <v>14111125</v>
      </c>
    </row>
    <row r="699" spans="1:42" s="62" customFormat="1" ht="27.75" customHeight="1" thickTop="1" thickBot="1" x14ac:dyDescent="0.3">
      <c r="A699" s="56" t="s">
        <v>22</v>
      </c>
      <c r="B699" s="56" t="s">
        <v>22</v>
      </c>
      <c r="C699" s="57">
        <f t="shared" si="390"/>
        <v>1411112</v>
      </c>
      <c r="D699" s="58">
        <v>7</v>
      </c>
      <c r="E699" s="59" t="str">
        <f t="shared" si="391"/>
        <v>SUBVENTIONS,QUOTES-PARTS ET CONTRIB.,ALLOC, INDEMNISATIONS</v>
      </c>
      <c r="F699" s="60" t="e">
        <f>SUMIFS([49]mensuel_section_article1!$E$3:$E$962,[49]mensuel_section_article1!$B$3:$B$962,C699,[49]mensuel_section_article1!$C$3:$C$962,D699)</f>
        <v>#VALUE!</v>
      </c>
      <c r="G699" s="60" t="e">
        <f>SUMIFS([49]mensuel_section_article1!$G$3:$G$962,[49]mensuel_section_article1!$B$3:$B$962,C699,[49]mensuel_section_article1!$C$3:$C$962,D699)</f>
        <v>#VALUE!</v>
      </c>
      <c r="H699" s="60">
        <v>59392772</v>
      </c>
      <c r="I699" s="60">
        <v>59392772</v>
      </c>
      <c r="J699" s="60">
        <v>57470000</v>
      </c>
      <c r="K699" s="60">
        <f t="shared" si="392"/>
        <v>1922772</v>
      </c>
      <c r="L699" s="61">
        <f t="shared" ref="L699:L707" si="395">+J699/H699</f>
        <v>0.96762616164808746</v>
      </c>
      <c r="M699" s="60"/>
      <c r="N699" s="24"/>
      <c r="O699" s="9"/>
      <c r="Q699" s="63"/>
      <c r="AK699" s="64"/>
      <c r="AL699" s="64"/>
      <c r="AM699" s="64"/>
      <c r="AN699" s="64"/>
      <c r="AO699" s="11">
        <v>1411112</v>
      </c>
      <c r="AP699" s="65" t="str">
        <f t="shared" si="393"/>
        <v>14111127</v>
      </c>
    </row>
    <row r="700" spans="1:42" s="62" customFormat="1" ht="27.75" customHeight="1" thickTop="1" thickBot="1" x14ac:dyDescent="0.3">
      <c r="A700" s="56" t="s">
        <v>22</v>
      </c>
      <c r="B700" s="56" t="s">
        <v>22</v>
      </c>
      <c r="C700" s="57">
        <f t="shared" si="390"/>
        <v>1411112</v>
      </c>
      <c r="D700" s="58">
        <v>9</v>
      </c>
      <c r="E700" s="59" t="str">
        <f t="shared" si="391"/>
        <v>AUTRES DEPENSES PUBLIQUES</v>
      </c>
      <c r="F700" s="60" t="e">
        <f>SUMIFS([49]mensuel_section_article1!$E$3:$E$962,[49]mensuel_section_article1!$B$3:$B$962,C700,[49]mensuel_section_article1!$C$3:$C$962,D700)</f>
        <v>#VALUE!</v>
      </c>
      <c r="G700" s="60" t="e">
        <f>SUMIFS([49]mensuel_section_article1!$G$3:$G$962,[49]mensuel_section_article1!$B$3:$B$962,C700,[49]mensuel_section_article1!$C$3:$C$962,D700)</f>
        <v>#VALUE!</v>
      </c>
      <c r="H700" s="60">
        <v>4044711.9499999993</v>
      </c>
      <c r="I700" s="60">
        <v>4044712</v>
      </c>
      <c r="J700" s="60">
        <v>4044000</v>
      </c>
      <c r="K700" s="60">
        <f t="shared" si="392"/>
        <v>711.94999999925494</v>
      </c>
      <c r="L700" s="61">
        <f t="shared" si="395"/>
        <v>0.99982398004881434</v>
      </c>
      <c r="M700" s="60"/>
      <c r="N700" s="24"/>
      <c r="O700" s="9"/>
      <c r="Q700" s="63"/>
      <c r="AK700" s="64"/>
      <c r="AL700" s="64"/>
      <c r="AM700" s="64"/>
      <c r="AN700" s="64"/>
      <c r="AO700" s="11">
        <v>1411112</v>
      </c>
      <c r="AP700" s="65" t="str">
        <f t="shared" si="393"/>
        <v>14111129</v>
      </c>
    </row>
    <row r="701" spans="1:42" s="1" customFormat="1" ht="27.75" customHeight="1" thickTop="1" x14ac:dyDescent="0.25">
      <c r="A701" s="37" t="s">
        <v>16</v>
      </c>
      <c r="B701" s="37" t="s">
        <v>16</v>
      </c>
      <c r="C701" s="37" t="s">
        <v>16</v>
      </c>
      <c r="D701" s="73">
        <v>1412</v>
      </c>
      <c r="E701" s="74" t="s">
        <v>112</v>
      </c>
      <c r="F701" s="75" t="e">
        <f>SUMIF($B$702:$B$784,"chap",F702:F784)</f>
        <v>#VALUE!</v>
      </c>
      <c r="G701" s="75" t="e">
        <f>SUMIF($B$702:$B$784,"chap",G702:G784)</f>
        <v>#VALUE!</v>
      </c>
      <c r="H701" s="75">
        <f>SUMIF($B$702:$B$784,"chap",H702:H784)</f>
        <v>1247256927.7920001</v>
      </c>
      <c r="I701" s="75">
        <v>1247256927.4000001</v>
      </c>
      <c r="J701" s="75">
        <f>SUMIF($B$702:$B$784,"chap",J702:J784)</f>
        <v>1205424959.48</v>
      </c>
      <c r="K701" s="75">
        <f>SUMIF($B$702:$B$784,"chap",K702:K784)</f>
        <v>41831968.31199991</v>
      </c>
      <c r="L701" s="76">
        <f t="shared" si="395"/>
        <v>0.96646082504744668</v>
      </c>
      <c r="M701" s="75"/>
      <c r="N701" s="75"/>
      <c r="O701" s="9"/>
      <c r="Q701" s="23"/>
      <c r="AK701" s="77"/>
      <c r="AL701" s="77"/>
      <c r="AM701" s="77"/>
      <c r="AN701" s="77"/>
      <c r="AO701" s="11"/>
    </row>
    <row r="702" spans="1:42" s="49" customFormat="1" ht="27.75" customHeight="1" x14ac:dyDescent="0.25">
      <c r="A702" s="43" t="s">
        <v>19</v>
      </c>
      <c r="B702" s="43" t="s">
        <v>19</v>
      </c>
      <c r="C702" s="43" t="s">
        <v>19</v>
      </c>
      <c r="D702" s="44">
        <v>14121</v>
      </c>
      <c r="E702" s="45" t="str">
        <f>VLOOKUP(D702,[49]INST!$A$1:$B$626,2,FALSE)</f>
        <v>SERVICES INTERNES</v>
      </c>
      <c r="F702" s="46" t="e">
        <f>SUMIF($B$703:$B$784,"section",F703:F784)</f>
        <v>#VALUE!</v>
      </c>
      <c r="G702" s="46" t="e">
        <f>SUMIF($B$703:$B$784,"section",G703:G784)</f>
        <v>#VALUE!</v>
      </c>
      <c r="H702" s="46">
        <f>SUMIF($B$703:$B$784,"section",H703:H784)</f>
        <v>1247256927.7920001</v>
      </c>
      <c r="I702" s="46">
        <v>1247256927.4000001</v>
      </c>
      <c r="J702" s="46">
        <f>SUMIF($B$703:$B$784,"section",J703:J784)</f>
        <v>1205424959.48</v>
      </c>
      <c r="K702" s="46">
        <f>SUMIF($B$703:$B$784,"section",K703:K784)</f>
        <v>41831968.31199991</v>
      </c>
      <c r="L702" s="47">
        <f t="shared" si="395"/>
        <v>0.96646082504744668</v>
      </c>
      <c r="M702" s="46"/>
      <c r="N702" s="46"/>
      <c r="O702" s="48"/>
      <c r="AO702" s="11"/>
    </row>
    <row r="703" spans="1:42" s="1" customFormat="1" ht="27.75" customHeight="1" thickBot="1" x14ac:dyDescent="0.3">
      <c r="A703" s="50" t="s">
        <v>20</v>
      </c>
      <c r="B703" s="50" t="s">
        <v>20</v>
      </c>
      <c r="C703" s="50" t="s">
        <v>20</v>
      </c>
      <c r="D703" s="51">
        <v>1412111</v>
      </c>
      <c r="E703" s="67" t="s">
        <v>21</v>
      </c>
      <c r="F703" s="68" t="e">
        <f>SUMIF($B$704:$B$710,"article",F704:F710)</f>
        <v>#VALUE!</v>
      </c>
      <c r="G703" s="68" t="e">
        <f>SUMIF($B$704:$B$710,"article",G704:G710)</f>
        <v>#VALUE!</v>
      </c>
      <c r="H703" s="68">
        <f>SUMIF($B$704:$B$710,"article",H704:H710)</f>
        <v>115235382.92200001</v>
      </c>
      <c r="I703" s="68">
        <v>207447299.11999997</v>
      </c>
      <c r="J703" s="68">
        <f>SUMIF($B$704:$B$710,"article",J704:J710)</f>
        <v>206515797.74000001</v>
      </c>
      <c r="K703" s="68">
        <f>SUMIF($B$704:$B$710,"article",K704:K710)</f>
        <v>-91280414.818000004</v>
      </c>
      <c r="L703" s="69">
        <f t="shared" si="395"/>
        <v>1.7921214170805981</v>
      </c>
      <c r="M703" s="68"/>
      <c r="N703" s="68"/>
      <c r="O703" s="9"/>
      <c r="Q703" s="23"/>
      <c r="AK703" s="70"/>
      <c r="AL703" s="70"/>
      <c r="AM703" s="70"/>
      <c r="AN703" s="70"/>
      <c r="AO703" s="11">
        <v>1412111</v>
      </c>
    </row>
    <row r="704" spans="1:42" s="107" customFormat="1" ht="27.75" customHeight="1" thickTop="1" thickBot="1" x14ac:dyDescent="0.3">
      <c r="A704" s="104" t="s">
        <v>22</v>
      </c>
      <c r="B704" s="104" t="s">
        <v>22</v>
      </c>
      <c r="C704" s="57">
        <f t="shared" ref="C704:C710" si="396">IF(A703="SECTION",D703,C703)</f>
        <v>1412111</v>
      </c>
      <c r="D704" s="105">
        <v>1</v>
      </c>
      <c r="E704" s="59" t="str">
        <f t="shared" ref="E704:E710" si="397">IF(D704=1, "DEPENSES DE PERSONNEL",  +IF(D704=2,"DEPENSES DE SERVICES ET CHARGES DIVERSES", +IF(D704=3,"ACHATS DE BIENS DE CONSOMMATION ET PETITS MATERIELS",+IF(D704=4,"IMMOBILISATION CORPORELLE",+IF(D704=5,"IMMOBILISATION INCORPORELLE",+IF(D704=7,"SUBVENTIONS,QUOTES-PARTS ET CONTRIB.,ALLOC, INDEMNISATIONS",+IF(D704=8,"AMORTISSEMENT DE LA DETTE",+IF(D704=9,"AUTRES DEPENSES PUBLIQUES",0))))))))</f>
        <v>DEPENSES DE PERSONNEL</v>
      </c>
      <c r="F704" s="60" t="e">
        <f>SUMIFS([49]mensuel_section_article1!$E$3:$E$962,[49]mensuel_section_article1!$B$3:$B$962,C704,[49]mensuel_section_article1!$C$3:$C$962,D704)</f>
        <v>#VALUE!</v>
      </c>
      <c r="G704" s="60" t="e">
        <f>SUMIFS([49]mensuel_section_article1!$G$3:$G$962,[49]mensuel_section_article1!$B$3:$B$962,C704,[49]mensuel_section_article1!$C$3:$C$962,D704)</f>
        <v>#VALUE!</v>
      </c>
      <c r="H704" s="60">
        <v>59851225.920000002</v>
      </c>
      <c r="I704" s="60">
        <v>52143207.219999999</v>
      </c>
      <c r="J704" s="60">
        <v>51961984.109999999</v>
      </c>
      <c r="K704" s="60">
        <f t="shared" ref="K704:K710" si="398">+H704-J704</f>
        <v>7889241.8100000024</v>
      </c>
      <c r="L704" s="61">
        <f t="shared" si="395"/>
        <v>0.86818579421338604</v>
      </c>
      <c r="M704" s="60"/>
      <c r="N704" s="24"/>
      <c r="O704" s="106"/>
      <c r="Q704" s="108"/>
      <c r="AK704" s="109"/>
      <c r="AL704" s="109"/>
      <c r="AM704" s="109"/>
      <c r="AN704" s="109"/>
      <c r="AO704" s="11">
        <v>1412111</v>
      </c>
      <c r="AP704" s="65" t="str">
        <f t="shared" ref="AP704:AP710" si="399">CONCATENATE(AO704,D704)</f>
        <v>14121111</v>
      </c>
    </row>
    <row r="705" spans="1:42" s="62" customFormat="1" ht="27.75" customHeight="1" thickTop="1" thickBot="1" x14ac:dyDescent="0.3">
      <c r="A705" s="56" t="s">
        <v>22</v>
      </c>
      <c r="B705" s="56" t="s">
        <v>22</v>
      </c>
      <c r="C705" s="57">
        <f t="shared" si="396"/>
        <v>1412111</v>
      </c>
      <c r="D705" s="58">
        <v>2</v>
      </c>
      <c r="E705" s="59" t="str">
        <f t="shared" si="397"/>
        <v>DEPENSES DE SERVICES ET CHARGES DIVERSES</v>
      </c>
      <c r="F705" s="60" t="e">
        <f>SUMIFS([49]mensuel_section_article1!$E$3:$E$962,[49]mensuel_section_article1!$B$3:$B$962,C705,[49]mensuel_section_article1!$C$3:$C$962,D705)</f>
        <v>#VALUE!</v>
      </c>
      <c r="G705" s="60" t="e">
        <f>SUMIFS([49]mensuel_section_article1!$G$3:$G$962,[49]mensuel_section_article1!$B$3:$B$962,C705,[49]mensuel_section_article1!$C$3:$C$962,D705)</f>
        <v>#VALUE!</v>
      </c>
      <c r="H705" s="60">
        <v>20212808.469999999</v>
      </c>
      <c r="I705" s="60">
        <v>25583737.82</v>
      </c>
      <c r="J705" s="60">
        <v>25550924.530000001</v>
      </c>
      <c r="K705" s="60">
        <f t="shared" si="398"/>
        <v>-5338116.0600000024</v>
      </c>
      <c r="L705" s="61">
        <f t="shared" si="395"/>
        <v>1.2640957127715762</v>
      </c>
      <c r="M705" s="60"/>
      <c r="N705" s="24"/>
      <c r="O705" s="9"/>
      <c r="Q705" s="63"/>
      <c r="AK705" s="64"/>
      <c r="AL705" s="64"/>
      <c r="AM705" s="64"/>
      <c r="AN705" s="64"/>
      <c r="AO705" s="11">
        <v>1412111</v>
      </c>
      <c r="AP705" s="65" t="str">
        <f t="shared" si="399"/>
        <v>14121112</v>
      </c>
    </row>
    <row r="706" spans="1:42" s="62" customFormat="1" ht="27.75" hidden="1" customHeight="1" thickTop="1" thickBot="1" x14ac:dyDescent="0.3">
      <c r="A706" s="56" t="s">
        <v>22</v>
      </c>
      <c r="B706" s="56" t="s">
        <v>22</v>
      </c>
      <c r="C706" s="57">
        <f t="shared" si="396"/>
        <v>1412111</v>
      </c>
      <c r="D706" s="58">
        <v>3</v>
      </c>
      <c r="E706" s="59" t="str">
        <f t="shared" si="397"/>
        <v>ACHATS DE BIENS DE CONSOMMATION ET PETITS MATERIELS</v>
      </c>
      <c r="F706" s="60" t="e">
        <f>SUMIFS([49]mensuel_section_article1!$E$3:$E$962,[49]mensuel_section_article1!$B$3:$B$962,C706,[49]mensuel_section_article1!$C$3:$C$962,D706)</f>
        <v>#VALUE!</v>
      </c>
      <c r="G706" s="60" t="e">
        <f>SUMIFS([49]mensuel_section_article1!$G$3:$G$962,[49]mensuel_section_article1!$B$3:$B$962,C706,[49]mensuel_section_article1!$C$3:$C$962,D706)</f>
        <v>#VALUE!</v>
      </c>
      <c r="H706" s="60">
        <v>0</v>
      </c>
      <c r="I706" s="60">
        <v>4338062.99</v>
      </c>
      <c r="J706" s="60">
        <v>3993524.78</v>
      </c>
      <c r="K706" s="60">
        <f t="shared" si="398"/>
        <v>-3993524.78</v>
      </c>
      <c r="L706" s="61" t="e">
        <f t="shared" si="395"/>
        <v>#DIV/0!</v>
      </c>
      <c r="M706" s="60" t="e">
        <f>+SUMIFS([51]section_article!$H$10:$H$936,[51]section_article!$C$10:$C$936,C706,[51]section_article!$D$10:$D$936,D706)</f>
        <v>#VALUE!</v>
      </c>
      <c r="N706" s="24" t="e">
        <f t="shared" ref="N704:N710" si="400">+J706-M706</f>
        <v>#VALUE!</v>
      </c>
      <c r="O706" s="9"/>
      <c r="Q706" s="66"/>
      <c r="AK706" s="64"/>
      <c r="AL706" s="64"/>
      <c r="AM706" s="64"/>
      <c r="AN706" s="64"/>
      <c r="AO706" s="11">
        <v>1412111</v>
      </c>
      <c r="AP706" s="65" t="str">
        <f t="shared" si="399"/>
        <v>14121113</v>
      </c>
    </row>
    <row r="707" spans="1:42" s="62" customFormat="1" ht="27.75" customHeight="1" thickTop="1" thickBot="1" x14ac:dyDescent="0.3">
      <c r="A707" s="56" t="s">
        <v>22</v>
      </c>
      <c r="B707" s="56" t="s">
        <v>22</v>
      </c>
      <c r="C707" s="57">
        <f t="shared" si="396"/>
        <v>1412111</v>
      </c>
      <c r="D707" s="58">
        <v>4</v>
      </c>
      <c r="E707" s="59" t="str">
        <f t="shared" si="397"/>
        <v>IMMOBILISATION CORPORELLE</v>
      </c>
      <c r="F707" s="60" t="e">
        <f>SUMIFS([49]mensuel_section_article1!$E$3:$E$962,[49]mensuel_section_article1!$B$3:$B$962,C707,[49]mensuel_section_article1!$C$3:$C$962,D707)</f>
        <v>#VALUE!</v>
      </c>
      <c r="G707" s="60" t="e">
        <f>SUMIFS([49]mensuel_section_article1!$G$3:$G$962,[49]mensuel_section_article1!$B$3:$B$962,C707,[49]mensuel_section_article1!$C$3:$C$962,D707)</f>
        <v>#VALUE!</v>
      </c>
      <c r="H707" s="60">
        <v>3993853.4520000005</v>
      </c>
      <c r="I707" s="60">
        <v>2007303.5000000002</v>
      </c>
      <c r="J707" s="60">
        <v>2007294.53</v>
      </c>
      <c r="K707" s="60">
        <f t="shared" si="398"/>
        <v>1986558.9220000005</v>
      </c>
      <c r="L707" s="61">
        <f t="shared" si="395"/>
        <v>0.50259594001748054</v>
      </c>
      <c r="M707" s="60"/>
      <c r="N707" s="24"/>
      <c r="O707" s="9"/>
      <c r="Q707" s="63"/>
      <c r="AK707" s="64"/>
      <c r="AL707" s="64"/>
      <c r="AM707" s="64"/>
      <c r="AN707" s="64"/>
      <c r="AO707" s="11">
        <v>1412111</v>
      </c>
      <c r="AP707" s="65" t="str">
        <f t="shared" si="399"/>
        <v>14121114</v>
      </c>
    </row>
    <row r="708" spans="1:42" s="62" customFormat="1" ht="27.75" hidden="1" customHeight="1" thickTop="1" thickBot="1" x14ac:dyDescent="0.3">
      <c r="A708" s="56" t="s">
        <v>22</v>
      </c>
      <c r="B708" s="56" t="s">
        <v>22</v>
      </c>
      <c r="C708" s="57">
        <f t="shared" si="396"/>
        <v>1412111</v>
      </c>
      <c r="D708" s="58">
        <v>5</v>
      </c>
      <c r="E708" s="59" t="str">
        <f t="shared" si="397"/>
        <v>IMMOBILISATION INCORPORELLE</v>
      </c>
      <c r="F708" s="60" t="e">
        <f>SUMIFS([49]mensuel_section_article1!$E$3:$E$962,[49]mensuel_section_article1!$B$3:$B$962,C708,[49]mensuel_section_article1!$C$3:$C$962,D708)</f>
        <v>#VALUE!</v>
      </c>
      <c r="G708" s="60" t="e">
        <f>SUMIFS([49]mensuel_section_article1!$G$3:$G$962,[49]mensuel_section_article1!$B$3:$B$962,C708,[49]mensuel_section_article1!$C$3:$C$962,D708)</f>
        <v>#VALUE!</v>
      </c>
      <c r="H708" s="60">
        <v>0</v>
      </c>
      <c r="I708" s="60">
        <v>0</v>
      </c>
      <c r="J708" s="60">
        <v>0</v>
      </c>
      <c r="K708" s="60">
        <f t="shared" si="398"/>
        <v>0</v>
      </c>
      <c r="L708" s="61" t="e">
        <f>IF(F708&lt;&gt;0,K708/F708,0)</f>
        <v>#VALUE!</v>
      </c>
      <c r="M708" s="60" t="e">
        <f>+SUMIFS([51]section_article!$H$10:$H$936,[51]section_article!$C$10:$C$936,C708,[51]section_article!$D$10:$D$936,D708)</f>
        <v>#VALUE!</v>
      </c>
      <c r="N708" s="24" t="e">
        <f t="shared" si="400"/>
        <v>#VALUE!</v>
      </c>
      <c r="O708" s="9"/>
      <c r="Q708" s="63"/>
      <c r="AK708" s="64"/>
      <c r="AL708" s="64"/>
      <c r="AM708" s="64"/>
      <c r="AN708" s="64"/>
      <c r="AO708" s="11">
        <v>1412111</v>
      </c>
      <c r="AP708" s="65" t="str">
        <f t="shared" si="399"/>
        <v>14121115</v>
      </c>
    </row>
    <row r="709" spans="1:42" s="62" customFormat="1" ht="27.75" customHeight="1" thickTop="1" thickBot="1" x14ac:dyDescent="0.3">
      <c r="A709" s="56" t="s">
        <v>22</v>
      </c>
      <c r="B709" s="56" t="s">
        <v>22</v>
      </c>
      <c r="C709" s="57">
        <f t="shared" si="396"/>
        <v>1412111</v>
      </c>
      <c r="D709" s="58">
        <v>7</v>
      </c>
      <c r="E709" s="59" t="str">
        <f t="shared" si="397"/>
        <v>SUBVENTIONS,QUOTES-PARTS ET CONTRIB.,ALLOC, INDEMNISATIONS</v>
      </c>
      <c r="F709" s="60" t="e">
        <f>SUMIFS([49]mensuel_section_article1!$E$3:$E$962,[49]mensuel_section_article1!$B$3:$B$962,C709,[49]mensuel_section_article1!$C$3:$C$962,D709)</f>
        <v>#VALUE!</v>
      </c>
      <c r="G709" s="60" t="e">
        <f>SUMIFS([49]mensuel_section_article1!$G$3:$G$962,[49]mensuel_section_article1!$B$3:$B$962,C709,[49]mensuel_section_article1!$C$3:$C$962,D709)</f>
        <v>#VALUE!</v>
      </c>
      <c r="H709" s="60">
        <v>13000000.08</v>
      </c>
      <c r="I709" s="60">
        <v>13000000.1</v>
      </c>
      <c r="J709" s="60">
        <v>12637486.35</v>
      </c>
      <c r="K709" s="60">
        <f t="shared" si="398"/>
        <v>362513.73000000045</v>
      </c>
      <c r="L709" s="61">
        <f t="shared" ref="L709:L715" si="401">+J709/H709</f>
        <v>0.97211432863314251</v>
      </c>
      <c r="M709" s="60"/>
      <c r="N709" s="24"/>
      <c r="O709" s="9"/>
      <c r="Q709" s="63"/>
      <c r="AK709" s="64"/>
      <c r="AL709" s="64"/>
      <c r="AM709" s="64"/>
      <c r="AN709" s="64"/>
      <c r="AO709" s="11">
        <v>1412111</v>
      </c>
      <c r="AP709" s="65" t="str">
        <f t="shared" si="399"/>
        <v>14121117</v>
      </c>
    </row>
    <row r="710" spans="1:42" s="62" customFormat="1" ht="27.75" customHeight="1" thickTop="1" thickBot="1" x14ac:dyDescent="0.3">
      <c r="A710" s="56" t="s">
        <v>22</v>
      </c>
      <c r="B710" s="56" t="s">
        <v>22</v>
      </c>
      <c r="C710" s="57">
        <f t="shared" si="396"/>
        <v>1412111</v>
      </c>
      <c r="D710" s="58">
        <v>9</v>
      </c>
      <c r="E710" s="59" t="str">
        <f t="shared" si="397"/>
        <v>AUTRES DEPENSES PUBLIQUES</v>
      </c>
      <c r="F710" s="60" t="e">
        <f>SUMIFS([49]mensuel_section_article1!$E$3:$E$962,[49]mensuel_section_article1!$B$3:$B$962,C710,[49]mensuel_section_article1!$C$3:$C$962,D710)</f>
        <v>#VALUE!</v>
      </c>
      <c r="G710" s="60" t="e">
        <f>SUMIFS([49]mensuel_section_article1!$G$3:$G$962,[49]mensuel_section_article1!$B$3:$B$962,C710,[49]mensuel_section_article1!$C$3:$C$962,D710)</f>
        <v>#VALUE!</v>
      </c>
      <c r="H710" s="60">
        <v>18177495</v>
      </c>
      <c r="I710" s="60">
        <v>110374987.48999999</v>
      </c>
      <c r="J710" s="60">
        <v>110364583.44</v>
      </c>
      <c r="K710" s="60">
        <f t="shared" si="398"/>
        <v>-92187088.439999998</v>
      </c>
      <c r="L710" s="61">
        <f t="shared" si="401"/>
        <v>6.0714957390993645</v>
      </c>
      <c r="M710" s="60"/>
      <c r="N710" s="24"/>
      <c r="O710" s="9"/>
      <c r="Q710" s="63"/>
      <c r="AK710" s="64"/>
      <c r="AL710" s="64"/>
      <c r="AM710" s="64"/>
      <c r="AN710" s="64"/>
      <c r="AO710" s="11">
        <v>1412111</v>
      </c>
      <c r="AP710" s="65" t="str">
        <f t="shared" si="399"/>
        <v>14121119</v>
      </c>
    </row>
    <row r="711" spans="1:42" s="1" customFormat="1" ht="27.75" customHeight="1" thickTop="1" thickBot="1" x14ac:dyDescent="0.3">
      <c r="A711" s="50" t="s">
        <v>20</v>
      </c>
      <c r="B711" s="50" t="s">
        <v>20</v>
      </c>
      <c r="C711" s="50" t="s">
        <v>20</v>
      </c>
      <c r="D711" s="51">
        <v>1412112</v>
      </c>
      <c r="E711" s="67" t="s">
        <v>23</v>
      </c>
      <c r="F711" s="68" t="e">
        <f>SUMIF($B$712:$B$718,"article",F712:F718)</f>
        <v>#VALUE!</v>
      </c>
      <c r="G711" s="68" t="e">
        <f>SUMIF($B$712:$B$718,"article",G712:G718)</f>
        <v>#VALUE!</v>
      </c>
      <c r="H711" s="68">
        <f>SUMIF($B$712:$B$718,"article",H712:H718)</f>
        <v>275168723.85600001</v>
      </c>
      <c r="I711" s="68">
        <v>182956807.28</v>
      </c>
      <c r="J711" s="68">
        <f>SUMIF($B$712:$B$718,"article",J712:J718)</f>
        <v>181841194.93000001</v>
      </c>
      <c r="K711" s="68">
        <f>SUMIF($B$712:$B$718,"article",K712:K718)</f>
        <v>93327528.925999984</v>
      </c>
      <c r="L711" s="69">
        <f t="shared" si="401"/>
        <v>0.66083525911600438</v>
      </c>
      <c r="M711" s="68"/>
      <c r="N711" s="68"/>
      <c r="O711" s="9"/>
      <c r="Q711" s="23"/>
      <c r="AK711" s="70"/>
      <c r="AL711" s="70"/>
      <c r="AM711" s="70"/>
      <c r="AN711" s="70"/>
      <c r="AO711" s="11">
        <v>1412112</v>
      </c>
    </row>
    <row r="712" spans="1:42" s="62" customFormat="1" ht="27.75" customHeight="1" thickTop="1" thickBot="1" x14ac:dyDescent="0.3">
      <c r="A712" s="56" t="s">
        <v>22</v>
      </c>
      <c r="B712" s="56" t="s">
        <v>22</v>
      </c>
      <c r="C712" s="57">
        <f t="shared" ref="C712:C718" si="402">IF(A711="SECTION",D711,C711)</f>
        <v>1412112</v>
      </c>
      <c r="D712" s="58">
        <v>1</v>
      </c>
      <c r="E712" s="59" t="str">
        <f t="shared" ref="E712:E718" si="403">IF(D712=1, "DEPENSES DE PERSONNEL",  +IF(D712=2,"DEPENSES DE SERVICES ET CHARGES DIVERSES", +IF(D712=3,"ACHATS DE BIENS DE CONSOMMATION ET PETITS MATERIELS",+IF(D712=4,"IMMOBILISATION CORPORELLE",+IF(D712=5,"IMMOBILISATION INCORPORELLE",+IF(D712=7,"SUBVENTIONS,QUOTES-PARTS ET CONTRIB.,ALLOC, INDEMNISATIONS",+IF(D712=8,"AMORTISSEMENT DE LA DETTE",+IF(D712=9,"AUTRES DEPENSES PUBLIQUES",0))))))))</f>
        <v>DEPENSES DE PERSONNEL</v>
      </c>
      <c r="F712" s="60" t="e">
        <f>SUMIFS([49]mensuel_section_article1!$E$3:$E$962,[49]mensuel_section_article1!$B$3:$B$962,C712,[49]mensuel_section_article1!$C$3:$C$962,D712)</f>
        <v>#VALUE!</v>
      </c>
      <c r="G712" s="60" t="e">
        <f>SUMIFS([49]mensuel_section_article1!$G$3:$G$962,[49]mensuel_section_article1!$B$3:$B$962,C712,[49]mensuel_section_article1!$C$3:$C$962,D712)</f>
        <v>#VALUE!</v>
      </c>
      <c r="H712" s="60">
        <v>74378501</v>
      </c>
      <c r="I712" s="60">
        <v>82086519.680000007</v>
      </c>
      <c r="J712" s="60">
        <v>81075081.569999993</v>
      </c>
      <c r="K712" s="60">
        <f t="shared" ref="K712:K718" si="404">+H712-J712</f>
        <v>-6696580.5699999928</v>
      </c>
      <c r="L712" s="61">
        <f t="shared" si="401"/>
        <v>1.0900338199878483</v>
      </c>
      <c r="M712" s="60"/>
      <c r="N712" s="24"/>
      <c r="O712" s="9"/>
      <c r="Q712" s="63"/>
      <c r="AK712" s="64"/>
      <c r="AL712" s="64"/>
      <c r="AM712" s="64"/>
      <c r="AN712" s="64"/>
      <c r="AO712" s="11">
        <v>1412112</v>
      </c>
      <c r="AP712" s="65" t="str">
        <f t="shared" ref="AP712:AP718" si="405">CONCATENATE(AO712,D712)</f>
        <v>14121121</v>
      </c>
    </row>
    <row r="713" spans="1:42" s="62" customFormat="1" ht="27.75" customHeight="1" thickTop="1" thickBot="1" x14ac:dyDescent="0.3">
      <c r="A713" s="56" t="s">
        <v>22</v>
      </c>
      <c r="B713" s="56" t="s">
        <v>22</v>
      </c>
      <c r="C713" s="57">
        <f t="shared" si="402"/>
        <v>1412112</v>
      </c>
      <c r="D713" s="58">
        <v>2</v>
      </c>
      <c r="E713" s="59" t="str">
        <f t="shared" si="403"/>
        <v>DEPENSES DE SERVICES ET CHARGES DIVERSES</v>
      </c>
      <c r="F713" s="60" t="e">
        <f>SUMIFS([49]mensuel_section_article1!$E$3:$E$962,[49]mensuel_section_article1!$B$3:$B$962,C713,[49]mensuel_section_article1!$C$3:$C$962,D713)</f>
        <v>#VALUE!</v>
      </c>
      <c r="G713" s="60" t="e">
        <f>SUMIFS([49]mensuel_section_article1!$G$3:$G$962,[49]mensuel_section_article1!$B$3:$B$962,C713,[49]mensuel_section_article1!$C$3:$C$962,D713)</f>
        <v>#VALUE!</v>
      </c>
      <c r="H713" s="60">
        <v>33552529.506000005</v>
      </c>
      <c r="I713" s="60">
        <v>11252873.180000002</v>
      </c>
      <c r="J713" s="60">
        <v>11175515.560000001</v>
      </c>
      <c r="K713" s="60">
        <f t="shared" si="404"/>
        <v>22377013.946000002</v>
      </c>
      <c r="L713" s="61">
        <f t="shared" si="401"/>
        <v>0.33307520251197598</v>
      </c>
      <c r="M713" s="60"/>
      <c r="N713" s="24"/>
      <c r="O713" s="9"/>
      <c r="Q713" s="63"/>
      <c r="AK713" s="64"/>
      <c r="AL713" s="64"/>
      <c r="AM713" s="64"/>
      <c r="AN713" s="64"/>
      <c r="AO713" s="11">
        <v>1412112</v>
      </c>
      <c r="AP713" s="65" t="str">
        <f t="shared" si="405"/>
        <v>14121122</v>
      </c>
    </row>
    <row r="714" spans="1:42" s="62" customFormat="1" ht="27.75" hidden="1" customHeight="1" thickTop="1" thickBot="1" x14ac:dyDescent="0.3">
      <c r="A714" s="56" t="s">
        <v>22</v>
      </c>
      <c r="B714" s="56" t="s">
        <v>22</v>
      </c>
      <c r="C714" s="57">
        <f t="shared" si="402"/>
        <v>1412112</v>
      </c>
      <c r="D714" s="58">
        <v>3</v>
      </c>
      <c r="E714" s="59" t="str">
        <f t="shared" si="403"/>
        <v>ACHATS DE BIENS DE CONSOMMATION ET PETITS MATERIELS</v>
      </c>
      <c r="F714" s="60" t="e">
        <f>SUMIFS([49]mensuel_section_article1!$E$3:$E$962,[49]mensuel_section_article1!$B$3:$B$962,C714,[49]mensuel_section_article1!$C$3:$C$962,D714)</f>
        <v>#VALUE!</v>
      </c>
      <c r="G714" s="60" t="e">
        <f>SUMIFS([49]mensuel_section_article1!$G$3:$G$962,[49]mensuel_section_article1!$B$3:$B$962,C714,[49]mensuel_section_article1!$C$3:$C$962,D714)</f>
        <v>#VALUE!</v>
      </c>
      <c r="H714" s="60">
        <v>9.0000002644956112E-2</v>
      </c>
      <c r="I714" s="60">
        <v>21608664.109999999</v>
      </c>
      <c r="J714" s="60">
        <v>21581946.559999999</v>
      </c>
      <c r="K714" s="60">
        <f t="shared" si="404"/>
        <v>-21581946.469999995</v>
      </c>
      <c r="L714" s="61">
        <f t="shared" si="401"/>
        <v>239799399.17490125</v>
      </c>
      <c r="M714" s="60" t="e">
        <f>+SUMIFS([51]section_article!$H$10:$H$936,[51]section_article!$C$10:$C$936,C714,[51]section_article!$D$10:$D$936,D714)</f>
        <v>#VALUE!</v>
      </c>
      <c r="N714" s="24" t="e">
        <f t="shared" ref="N712:N718" si="406">+J714-M714</f>
        <v>#VALUE!</v>
      </c>
      <c r="O714" s="9"/>
      <c r="Q714" s="63"/>
      <c r="AK714" s="64"/>
      <c r="AL714" s="64"/>
      <c r="AM714" s="64"/>
      <c r="AN714" s="64"/>
      <c r="AO714" s="11">
        <v>1412112</v>
      </c>
      <c r="AP714" s="65" t="str">
        <f t="shared" si="405"/>
        <v>14121123</v>
      </c>
    </row>
    <row r="715" spans="1:42" s="62" customFormat="1" ht="27.75" customHeight="1" thickTop="1" thickBot="1" x14ac:dyDescent="0.3">
      <c r="A715" s="56" t="s">
        <v>22</v>
      </c>
      <c r="B715" s="56" t="s">
        <v>22</v>
      </c>
      <c r="C715" s="57">
        <f t="shared" si="402"/>
        <v>1412112</v>
      </c>
      <c r="D715" s="58">
        <v>4</v>
      </c>
      <c r="E715" s="59" t="str">
        <f t="shared" si="403"/>
        <v>IMMOBILISATION CORPORELLE</v>
      </c>
      <c r="F715" s="60" t="e">
        <f>SUMIFS([49]mensuel_section_article1!$E$3:$E$962,[49]mensuel_section_article1!$B$3:$B$962,C715,[49]mensuel_section_article1!$C$3:$C$962,D715)</f>
        <v>#VALUE!</v>
      </c>
      <c r="G715" s="60" t="e">
        <f>SUMIFS([49]mensuel_section_article1!$G$3:$G$962,[49]mensuel_section_article1!$B$3:$B$962,C715,[49]mensuel_section_article1!$C$3:$C$962,D715)</f>
        <v>#VALUE!</v>
      </c>
      <c r="H715" s="60">
        <v>11863799.191999998</v>
      </c>
      <c r="I715" s="60">
        <v>13850349.199999999</v>
      </c>
      <c r="J715" s="60">
        <v>13850251.24</v>
      </c>
      <c r="K715" s="60">
        <f t="shared" si="404"/>
        <v>-1986452.0480000023</v>
      </c>
      <c r="L715" s="61">
        <f t="shared" si="401"/>
        <v>1.1674381044260684</v>
      </c>
      <c r="M715" s="60"/>
      <c r="N715" s="24"/>
      <c r="O715" s="9"/>
      <c r="Q715" s="63"/>
      <c r="AK715" s="64"/>
      <c r="AL715" s="64"/>
      <c r="AM715" s="64"/>
      <c r="AN715" s="64"/>
      <c r="AO715" s="11">
        <v>1412112</v>
      </c>
      <c r="AP715" s="65" t="str">
        <f t="shared" si="405"/>
        <v>14121124</v>
      </c>
    </row>
    <row r="716" spans="1:42" s="62" customFormat="1" ht="27.75" hidden="1" customHeight="1" thickTop="1" thickBot="1" x14ac:dyDescent="0.3">
      <c r="A716" s="56" t="s">
        <v>22</v>
      </c>
      <c r="B716" s="56" t="s">
        <v>22</v>
      </c>
      <c r="C716" s="57">
        <f t="shared" si="402"/>
        <v>1412112</v>
      </c>
      <c r="D716" s="58">
        <v>5</v>
      </c>
      <c r="E716" s="59" t="str">
        <f t="shared" si="403"/>
        <v>IMMOBILISATION INCORPORELLE</v>
      </c>
      <c r="F716" s="60" t="e">
        <f>SUMIFS([49]mensuel_section_article1!$E$3:$E$962,[49]mensuel_section_article1!$B$3:$B$962,C716,[49]mensuel_section_article1!$C$3:$C$962,D716)</f>
        <v>#VALUE!</v>
      </c>
      <c r="G716" s="60" t="e">
        <f>SUMIFS([49]mensuel_section_article1!$G$3:$G$962,[49]mensuel_section_article1!$B$3:$B$962,C716,[49]mensuel_section_article1!$C$3:$C$962,D716)</f>
        <v>#VALUE!</v>
      </c>
      <c r="H716" s="60">
        <v>0</v>
      </c>
      <c r="I716" s="60">
        <v>0</v>
      </c>
      <c r="J716" s="60">
        <v>0</v>
      </c>
      <c r="K716" s="60">
        <f t="shared" si="404"/>
        <v>0</v>
      </c>
      <c r="L716" s="61" t="e">
        <f>IF(F716&lt;&gt;0,K716/F716,0)</f>
        <v>#VALUE!</v>
      </c>
      <c r="M716" s="60" t="e">
        <f>+SUMIFS([51]section_article!$H$10:$H$936,[51]section_article!$C$10:$C$936,C716,[51]section_article!$D$10:$D$936,D716)</f>
        <v>#VALUE!</v>
      </c>
      <c r="N716" s="24" t="e">
        <f t="shared" si="406"/>
        <v>#VALUE!</v>
      </c>
      <c r="O716" s="9"/>
      <c r="Q716" s="63"/>
      <c r="AK716" s="64"/>
      <c r="AL716" s="64"/>
      <c r="AM716" s="64"/>
      <c r="AN716" s="64"/>
      <c r="AO716" s="11">
        <v>1412112</v>
      </c>
      <c r="AP716" s="65" t="str">
        <f t="shared" si="405"/>
        <v>14121125</v>
      </c>
    </row>
    <row r="717" spans="1:42" s="62" customFormat="1" ht="27.75" hidden="1" customHeight="1" thickTop="1" thickBot="1" x14ac:dyDescent="0.3">
      <c r="A717" s="56" t="s">
        <v>22</v>
      </c>
      <c r="B717" s="56" t="s">
        <v>22</v>
      </c>
      <c r="C717" s="57">
        <f t="shared" si="402"/>
        <v>1412112</v>
      </c>
      <c r="D717" s="58">
        <v>7</v>
      </c>
      <c r="E717" s="59" t="str">
        <f t="shared" si="403"/>
        <v>SUBVENTIONS,QUOTES-PARTS ET CONTRIB.,ALLOC, INDEMNISATIONS</v>
      </c>
      <c r="F717" s="60" t="e">
        <f>SUMIFS([49]mensuel_section_article1!$E$3:$E$962,[49]mensuel_section_article1!$B$3:$B$962,C717,[49]mensuel_section_article1!$C$3:$C$962,D717)</f>
        <v>#VALUE!</v>
      </c>
      <c r="G717" s="60" t="e">
        <f>SUMIFS([49]mensuel_section_article1!$G$3:$G$962,[49]mensuel_section_article1!$B$3:$B$962,C717,[49]mensuel_section_article1!$C$3:$C$962,D717)</f>
        <v>#VALUE!</v>
      </c>
      <c r="H717" s="60">
        <v>6.6000000108033419E-2</v>
      </c>
      <c r="I717" s="60">
        <v>0.1</v>
      </c>
      <c r="J717" s="60">
        <v>0</v>
      </c>
      <c r="K717" s="60">
        <f t="shared" si="404"/>
        <v>6.6000000108033419E-2</v>
      </c>
      <c r="L717" s="61" t="e">
        <f>IF(F717&lt;&gt;0,K717/F717,0)</f>
        <v>#VALUE!</v>
      </c>
      <c r="M717" s="60" t="e">
        <f>+SUMIFS([51]section_article!$H$10:$H$936,[51]section_article!$C$10:$C$936,C717,[51]section_article!$D$10:$D$936,D717)</f>
        <v>#VALUE!</v>
      </c>
      <c r="N717" s="24" t="e">
        <f t="shared" si="406"/>
        <v>#VALUE!</v>
      </c>
      <c r="O717" s="9"/>
      <c r="Q717" s="63"/>
      <c r="AK717" s="64"/>
      <c r="AL717" s="64"/>
      <c r="AM717" s="64"/>
      <c r="AN717" s="64"/>
      <c r="AO717" s="11">
        <v>1412112</v>
      </c>
      <c r="AP717" s="65" t="str">
        <f t="shared" si="405"/>
        <v>14121127</v>
      </c>
    </row>
    <row r="718" spans="1:42" s="62" customFormat="1" ht="27.75" customHeight="1" thickTop="1" thickBot="1" x14ac:dyDescent="0.3">
      <c r="A718" s="56" t="s">
        <v>22</v>
      </c>
      <c r="B718" s="56" t="s">
        <v>22</v>
      </c>
      <c r="C718" s="57">
        <f t="shared" si="402"/>
        <v>1412112</v>
      </c>
      <c r="D718" s="58">
        <v>9</v>
      </c>
      <c r="E718" s="59" t="str">
        <f t="shared" si="403"/>
        <v>AUTRES DEPENSES PUBLIQUES</v>
      </c>
      <c r="F718" s="60" t="e">
        <f>SUMIFS([49]mensuel_section_article1!$E$3:$E$962,[49]mensuel_section_article1!$B$3:$B$962,C718,[49]mensuel_section_article1!$C$3:$C$962,D718)</f>
        <v>#VALUE!</v>
      </c>
      <c r="G718" s="60" t="e">
        <f>SUMIFS([49]mensuel_section_article1!$G$3:$G$962,[49]mensuel_section_article1!$B$3:$B$962,C718,[49]mensuel_section_article1!$C$3:$C$962,D718)</f>
        <v>#VALUE!</v>
      </c>
      <c r="H718" s="60">
        <v>155373894.00199997</v>
      </c>
      <c r="I718" s="60">
        <v>54158401.009999998</v>
      </c>
      <c r="J718" s="60">
        <v>54158400</v>
      </c>
      <c r="K718" s="60">
        <f t="shared" si="404"/>
        <v>101215494.00199997</v>
      </c>
      <c r="L718" s="61">
        <f>+J718/H718</f>
        <v>0.3485682092726779</v>
      </c>
      <c r="M718" s="60"/>
      <c r="N718" s="24"/>
      <c r="O718" s="9"/>
      <c r="Q718" s="66"/>
      <c r="AK718" s="64"/>
      <c r="AL718" s="64"/>
      <c r="AM718" s="64"/>
      <c r="AN718" s="64"/>
      <c r="AO718" s="11">
        <v>1412112</v>
      </c>
      <c r="AP718" s="65" t="str">
        <f t="shared" si="405"/>
        <v>14121129</v>
      </c>
    </row>
    <row r="719" spans="1:42" s="1" customFormat="1" ht="27.75" customHeight="1" thickTop="1" thickBot="1" x14ac:dyDescent="0.3">
      <c r="A719" s="50" t="s">
        <v>20</v>
      </c>
      <c r="B719" s="50" t="s">
        <v>20</v>
      </c>
      <c r="C719" s="50" t="s">
        <v>20</v>
      </c>
      <c r="D719" s="51">
        <v>1412113</v>
      </c>
      <c r="E719" s="67" t="s">
        <v>113</v>
      </c>
      <c r="F719" s="68" t="e">
        <f>SUMIF($B$720:$B$726,"article",F720:F726)</f>
        <v>#VALUE!</v>
      </c>
      <c r="G719" s="68" t="e">
        <f>SUMIF($B$720:$B$726,"article",G720:G726)</f>
        <v>#VALUE!</v>
      </c>
      <c r="H719" s="68">
        <f>SUMIF($B$720:$B$726,"article",H720:H726)</f>
        <v>56164740.740000002</v>
      </c>
      <c r="I719" s="68">
        <v>55873740.700000003</v>
      </c>
      <c r="J719" s="68">
        <f>SUMIF($B$720:$B$726,"article",J720:J726)</f>
        <v>49272050.740000002</v>
      </c>
      <c r="K719" s="68">
        <f>SUMIF($B$720:$B$726,"article",K720:K726)</f>
        <v>6892690</v>
      </c>
      <c r="L719" s="69">
        <f>+J719/H719</f>
        <v>0.87727727557921242</v>
      </c>
      <c r="M719" s="68"/>
      <c r="N719" s="68"/>
      <c r="O719" s="9"/>
      <c r="Q719" s="23"/>
      <c r="AK719" s="70"/>
      <c r="AL719" s="70"/>
      <c r="AM719" s="70"/>
      <c r="AN719" s="70"/>
      <c r="AO719" s="11">
        <v>1412113</v>
      </c>
    </row>
    <row r="720" spans="1:42" s="62" customFormat="1" ht="27.75" customHeight="1" thickTop="1" thickBot="1" x14ac:dyDescent="0.3">
      <c r="A720" s="56" t="s">
        <v>22</v>
      </c>
      <c r="B720" s="56" t="s">
        <v>22</v>
      </c>
      <c r="C720" s="57">
        <f t="shared" ref="C720:C726" si="407">IF(A719="SECTION",D719,C719)</f>
        <v>1412113</v>
      </c>
      <c r="D720" s="58">
        <v>1</v>
      </c>
      <c r="E720" s="59" t="str">
        <f t="shared" ref="E720:E726" si="408">IF(D720=1, "DEPENSES DE PERSONNEL",  +IF(D720=2,"DEPENSES DE SERVICES ET CHARGES DIVERSES", +IF(D720=3,"ACHATS DE BIENS DE CONSOMMATION ET PETITS MATERIELS",+IF(D720=4,"IMMOBILISATION CORPORELLE",+IF(D720=5,"IMMOBILISATION INCORPORELLE",+IF(D720=7,"SUBVENTIONS,QUOTES-PARTS ET CONTRIB.,ALLOC, INDEMNISATIONS",+IF(D720=8,"AMORTISSEMENT DE LA DETTE",+IF(D720=9,"AUTRES DEPENSES PUBLIQUES",0))))))))</f>
        <v>DEPENSES DE PERSONNEL</v>
      </c>
      <c r="F720" s="60" t="e">
        <f>SUMIFS([49]mensuel_section_article1!$E$3:$E$962,[49]mensuel_section_article1!$B$3:$B$962,C720,[49]mensuel_section_article1!$C$3:$C$962,D720)</f>
        <v>#VALUE!</v>
      </c>
      <c r="G720" s="60" t="e">
        <f>SUMIFS([49]mensuel_section_article1!$G$3:$G$962,[49]mensuel_section_article1!$B$3:$B$962,C720,[49]mensuel_section_article1!$C$3:$C$962,D720)</f>
        <v>#VALUE!</v>
      </c>
      <c r="H720" s="60">
        <v>37425068.340000004</v>
      </c>
      <c r="I720" s="60">
        <v>37134068.300000004</v>
      </c>
      <c r="J720" s="60">
        <v>33109027.420000002</v>
      </c>
      <c r="K720" s="60">
        <f t="shared" ref="K720:K726" si="409">+H720-J720</f>
        <v>4316040.9200000018</v>
      </c>
      <c r="L720" s="61">
        <f>+J720/H720</f>
        <v>0.88467513590651192</v>
      </c>
      <c r="M720" s="60"/>
      <c r="N720" s="24"/>
      <c r="O720" s="9"/>
      <c r="Q720" s="63"/>
      <c r="AK720" s="64"/>
      <c r="AL720" s="64"/>
      <c r="AM720" s="64"/>
      <c r="AN720" s="64"/>
      <c r="AO720" s="11">
        <v>1412113</v>
      </c>
      <c r="AP720" s="65" t="str">
        <f t="shared" ref="AP720:AP726" si="410">CONCATENATE(AO720,D720)</f>
        <v>14121131</v>
      </c>
    </row>
    <row r="721" spans="1:42" s="62" customFormat="1" ht="27.75" customHeight="1" thickTop="1" thickBot="1" x14ac:dyDescent="0.3">
      <c r="A721" s="56" t="s">
        <v>22</v>
      </c>
      <c r="B721" s="56" t="s">
        <v>22</v>
      </c>
      <c r="C721" s="57">
        <f t="shared" si="407"/>
        <v>1412113</v>
      </c>
      <c r="D721" s="58">
        <v>2</v>
      </c>
      <c r="E721" s="59" t="str">
        <f t="shared" si="408"/>
        <v>DEPENSES DE SERVICES ET CHARGES DIVERSES</v>
      </c>
      <c r="F721" s="60" t="e">
        <f>SUMIFS([49]mensuel_section_article1!$E$3:$E$962,[49]mensuel_section_article1!$B$3:$B$962,C721,[49]mensuel_section_article1!$C$3:$C$962,D721)</f>
        <v>#VALUE!</v>
      </c>
      <c r="G721" s="60" t="e">
        <f>SUMIFS([49]mensuel_section_article1!$G$3:$G$962,[49]mensuel_section_article1!$B$3:$B$962,C721,[49]mensuel_section_article1!$C$3:$C$962,D721)</f>
        <v>#VALUE!</v>
      </c>
      <c r="H721" s="60">
        <v>18739672.399999999</v>
      </c>
      <c r="I721" s="60">
        <v>18739672.400000002</v>
      </c>
      <c r="J721" s="60">
        <v>16163023.32</v>
      </c>
      <c r="K721" s="60">
        <f t="shared" si="409"/>
        <v>2576649.0799999982</v>
      </c>
      <c r="L721" s="61">
        <f>+J721/H721</f>
        <v>0.86250298164230454</v>
      </c>
      <c r="M721" s="60"/>
      <c r="N721" s="24"/>
      <c r="O721" s="9"/>
      <c r="Q721" s="63"/>
      <c r="AK721" s="64"/>
      <c r="AL721" s="64"/>
      <c r="AM721" s="64"/>
      <c r="AN721" s="64"/>
      <c r="AO721" s="11">
        <v>1412113</v>
      </c>
      <c r="AP721" s="65" t="str">
        <f t="shared" si="410"/>
        <v>14121132</v>
      </c>
    </row>
    <row r="722" spans="1:42" s="62" customFormat="1" ht="27.75" hidden="1" customHeight="1" thickTop="1" thickBot="1" x14ac:dyDescent="0.3">
      <c r="A722" s="56" t="s">
        <v>22</v>
      </c>
      <c r="B722" s="56" t="s">
        <v>22</v>
      </c>
      <c r="C722" s="57">
        <f t="shared" si="407"/>
        <v>1412113</v>
      </c>
      <c r="D722" s="58">
        <v>3</v>
      </c>
      <c r="E722" s="59" t="str">
        <f t="shared" si="408"/>
        <v>ACHATS DE BIENS DE CONSOMMATION ET PETITS MATERIELS</v>
      </c>
      <c r="F722" s="60" t="e">
        <f>SUMIFS([49]mensuel_section_article1!$E$3:$E$962,[49]mensuel_section_article1!$B$3:$B$962,C722,[49]mensuel_section_article1!$C$3:$C$962,D722)</f>
        <v>#VALUE!</v>
      </c>
      <c r="G722" s="60" t="e">
        <f>SUMIFS([49]mensuel_section_article1!$G$3:$G$962,[49]mensuel_section_article1!$B$3:$B$962,C722,[49]mensuel_section_article1!$C$3:$C$962,D722)</f>
        <v>#VALUE!</v>
      </c>
      <c r="H722" s="60">
        <v>0</v>
      </c>
      <c r="I722" s="60">
        <v>0</v>
      </c>
      <c r="J722" s="60">
        <v>0</v>
      </c>
      <c r="K722" s="60">
        <f t="shared" si="409"/>
        <v>0</v>
      </c>
      <c r="L722" s="61" t="e">
        <f>IF(F722&lt;&gt;0,K722/F722,0)</f>
        <v>#VALUE!</v>
      </c>
      <c r="M722" s="60" t="e">
        <f>+SUMIFS([51]section_article!$H$10:$H$936,[51]section_article!$C$10:$C$936,C722,[51]section_article!$D$10:$D$936,D722)</f>
        <v>#VALUE!</v>
      </c>
      <c r="N722" s="24" t="e">
        <f t="shared" ref="N720:N726" si="411">+J722-M722</f>
        <v>#VALUE!</v>
      </c>
      <c r="O722" s="9"/>
      <c r="Q722" s="63"/>
      <c r="AK722" s="64"/>
      <c r="AL722" s="64"/>
      <c r="AM722" s="64"/>
      <c r="AN722" s="64"/>
      <c r="AO722" s="11">
        <v>1412113</v>
      </c>
      <c r="AP722" s="65" t="str">
        <f t="shared" si="410"/>
        <v>14121133</v>
      </c>
    </row>
    <row r="723" spans="1:42" s="62" customFormat="1" ht="27.75" hidden="1" customHeight="1" thickTop="1" thickBot="1" x14ac:dyDescent="0.3">
      <c r="A723" s="56" t="s">
        <v>22</v>
      </c>
      <c r="B723" s="56" t="s">
        <v>22</v>
      </c>
      <c r="C723" s="57">
        <f t="shared" si="407"/>
        <v>1412113</v>
      </c>
      <c r="D723" s="58">
        <v>4</v>
      </c>
      <c r="E723" s="59" t="str">
        <f t="shared" si="408"/>
        <v>IMMOBILISATION CORPORELLE</v>
      </c>
      <c r="F723" s="60" t="e">
        <f>SUMIFS([49]mensuel_section_article1!$E$3:$E$962,[49]mensuel_section_article1!$B$3:$B$962,C723,[49]mensuel_section_article1!$C$3:$C$962,D723)</f>
        <v>#VALUE!</v>
      </c>
      <c r="G723" s="60" t="e">
        <f>SUMIFS([49]mensuel_section_article1!$G$3:$G$962,[49]mensuel_section_article1!$B$3:$B$962,C723,[49]mensuel_section_article1!$C$3:$C$962,D723)</f>
        <v>#VALUE!</v>
      </c>
      <c r="H723" s="60">
        <v>0</v>
      </c>
      <c r="I723" s="60">
        <v>0</v>
      </c>
      <c r="J723" s="60">
        <v>0</v>
      </c>
      <c r="K723" s="60">
        <f t="shared" si="409"/>
        <v>0</v>
      </c>
      <c r="L723" s="61" t="e">
        <f>IF(F723&lt;&gt;0,K723/F723,0)</f>
        <v>#VALUE!</v>
      </c>
      <c r="M723" s="60" t="e">
        <f>+SUMIFS([51]section_article!$H$10:$H$936,[51]section_article!$C$10:$C$936,C723,[51]section_article!$D$10:$D$936,D723)</f>
        <v>#VALUE!</v>
      </c>
      <c r="N723" s="24" t="e">
        <f t="shared" si="411"/>
        <v>#VALUE!</v>
      </c>
      <c r="O723" s="9"/>
      <c r="Q723" s="63"/>
      <c r="AK723" s="64"/>
      <c r="AL723" s="64"/>
      <c r="AM723" s="64"/>
      <c r="AN723" s="64"/>
      <c r="AO723" s="11">
        <v>1412113</v>
      </c>
      <c r="AP723" s="65" t="str">
        <f t="shared" si="410"/>
        <v>14121134</v>
      </c>
    </row>
    <row r="724" spans="1:42" s="62" customFormat="1" ht="27.75" hidden="1" customHeight="1" thickTop="1" thickBot="1" x14ac:dyDescent="0.3">
      <c r="A724" s="56" t="s">
        <v>22</v>
      </c>
      <c r="B724" s="56" t="s">
        <v>22</v>
      </c>
      <c r="C724" s="57">
        <f t="shared" si="407"/>
        <v>1412113</v>
      </c>
      <c r="D724" s="58">
        <v>5</v>
      </c>
      <c r="E724" s="59" t="str">
        <f t="shared" si="408"/>
        <v>IMMOBILISATION INCORPORELLE</v>
      </c>
      <c r="F724" s="60" t="e">
        <f>SUMIFS([49]mensuel_section_article1!$E$3:$E$962,[49]mensuel_section_article1!$B$3:$B$962,C724,[49]mensuel_section_article1!$C$3:$C$962,D724)</f>
        <v>#VALUE!</v>
      </c>
      <c r="G724" s="60" t="e">
        <f>SUMIFS([49]mensuel_section_article1!$G$3:$G$962,[49]mensuel_section_article1!$B$3:$B$962,C724,[49]mensuel_section_article1!$C$3:$C$962,D724)</f>
        <v>#VALUE!</v>
      </c>
      <c r="H724" s="60">
        <v>0</v>
      </c>
      <c r="I724" s="60">
        <v>0</v>
      </c>
      <c r="J724" s="60">
        <v>0</v>
      </c>
      <c r="K724" s="60">
        <f t="shared" si="409"/>
        <v>0</v>
      </c>
      <c r="L724" s="61" t="e">
        <f t="shared" ref="L724:L784" si="412">IF(F724&lt;&gt;0,K724/F724,0)</f>
        <v>#VALUE!</v>
      </c>
      <c r="M724" s="60" t="e">
        <f>+SUMIFS([51]section_article!$H$10:$H$936,[51]section_article!$C$10:$C$936,C724,[51]section_article!$D$10:$D$936,D724)</f>
        <v>#VALUE!</v>
      </c>
      <c r="N724" s="24" t="e">
        <f t="shared" si="411"/>
        <v>#VALUE!</v>
      </c>
      <c r="O724" s="9"/>
      <c r="Q724" s="63"/>
      <c r="AK724" s="64"/>
      <c r="AL724" s="64"/>
      <c r="AM724" s="64"/>
      <c r="AN724" s="64"/>
      <c r="AO724" s="11">
        <v>1412113</v>
      </c>
      <c r="AP724" s="65" t="str">
        <f t="shared" si="410"/>
        <v>14121135</v>
      </c>
    </row>
    <row r="725" spans="1:42" s="62" customFormat="1" ht="27.75" hidden="1" customHeight="1" thickTop="1" thickBot="1" x14ac:dyDescent="0.3">
      <c r="A725" s="56" t="s">
        <v>22</v>
      </c>
      <c r="B725" s="56" t="s">
        <v>22</v>
      </c>
      <c r="C725" s="57">
        <f t="shared" si="407"/>
        <v>1412113</v>
      </c>
      <c r="D725" s="58">
        <v>7</v>
      </c>
      <c r="E725" s="59" t="str">
        <f t="shared" si="408"/>
        <v>SUBVENTIONS,QUOTES-PARTS ET CONTRIB.,ALLOC, INDEMNISATIONS</v>
      </c>
      <c r="F725" s="60" t="e">
        <f>SUMIFS([49]mensuel_section_article1!$E$3:$E$962,[49]mensuel_section_article1!$B$3:$B$962,C725,[49]mensuel_section_article1!$C$3:$C$962,D725)</f>
        <v>#VALUE!</v>
      </c>
      <c r="G725" s="60" t="e">
        <f>SUMIFS([49]mensuel_section_article1!$G$3:$G$962,[49]mensuel_section_article1!$B$3:$B$962,C725,[49]mensuel_section_article1!$C$3:$C$962,D725)</f>
        <v>#VALUE!</v>
      </c>
      <c r="H725" s="60">
        <v>0</v>
      </c>
      <c r="I725" s="60">
        <v>0</v>
      </c>
      <c r="J725" s="60">
        <v>0</v>
      </c>
      <c r="K725" s="60">
        <f t="shared" si="409"/>
        <v>0</v>
      </c>
      <c r="L725" s="61" t="e">
        <f t="shared" si="412"/>
        <v>#VALUE!</v>
      </c>
      <c r="M725" s="60" t="e">
        <f>+SUMIFS([51]section_article!$H$10:$H$936,[51]section_article!$C$10:$C$936,C725,[51]section_article!$D$10:$D$936,D725)</f>
        <v>#VALUE!</v>
      </c>
      <c r="N725" s="24" t="e">
        <f t="shared" si="411"/>
        <v>#VALUE!</v>
      </c>
      <c r="O725" s="9"/>
      <c r="Q725" s="63"/>
      <c r="AK725" s="64"/>
      <c r="AL725" s="64"/>
      <c r="AM725" s="64"/>
      <c r="AN725" s="64"/>
      <c r="AO725" s="11">
        <v>1412113</v>
      </c>
      <c r="AP725" s="65" t="str">
        <f t="shared" si="410"/>
        <v>14121137</v>
      </c>
    </row>
    <row r="726" spans="1:42" s="62" customFormat="1" ht="27.75" hidden="1" customHeight="1" thickTop="1" thickBot="1" x14ac:dyDescent="0.3">
      <c r="A726" s="56" t="s">
        <v>22</v>
      </c>
      <c r="B726" s="56" t="s">
        <v>22</v>
      </c>
      <c r="C726" s="57">
        <f t="shared" si="407"/>
        <v>1412113</v>
      </c>
      <c r="D726" s="58">
        <v>9</v>
      </c>
      <c r="E726" s="59" t="str">
        <f t="shared" si="408"/>
        <v>AUTRES DEPENSES PUBLIQUES</v>
      </c>
      <c r="F726" s="60" t="e">
        <f>SUMIFS([49]mensuel_section_article1!$E$3:$E$962,[49]mensuel_section_article1!$B$3:$B$962,C726,[49]mensuel_section_article1!$C$3:$C$962,D726)</f>
        <v>#VALUE!</v>
      </c>
      <c r="G726" s="60" t="e">
        <f>SUMIFS([49]mensuel_section_article1!$G$3:$G$962,[49]mensuel_section_article1!$B$3:$B$962,C726,[49]mensuel_section_article1!$C$3:$C$962,D726)</f>
        <v>#VALUE!</v>
      </c>
      <c r="H726" s="60">
        <v>0</v>
      </c>
      <c r="I726" s="60">
        <v>0</v>
      </c>
      <c r="J726" s="60">
        <v>0</v>
      </c>
      <c r="K726" s="60">
        <f t="shared" si="409"/>
        <v>0</v>
      </c>
      <c r="L726" s="61" t="e">
        <f t="shared" si="412"/>
        <v>#VALUE!</v>
      </c>
      <c r="M726" s="60" t="e">
        <f>+SUMIFS([51]section_article!$H$10:$H$936,[51]section_article!$C$10:$C$936,C726,[51]section_article!$D$10:$D$936,D726)</f>
        <v>#VALUE!</v>
      </c>
      <c r="N726" s="24" t="e">
        <f t="shared" si="411"/>
        <v>#VALUE!</v>
      </c>
      <c r="O726" s="9"/>
      <c r="Q726" s="63"/>
      <c r="AK726" s="64"/>
      <c r="AL726" s="64"/>
      <c r="AM726" s="64"/>
      <c r="AN726" s="64"/>
      <c r="AO726" s="11">
        <v>1412113</v>
      </c>
      <c r="AP726" s="65" t="str">
        <f t="shared" si="410"/>
        <v>14121139</v>
      </c>
    </row>
    <row r="727" spans="1:42" s="1" customFormat="1" ht="27.75" customHeight="1" thickTop="1" thickBot="1" x14ac:dyDescent="0.3">
      <c r="A727" s="50" t="s">
        <v>20</v>
      </c>
      <c r="B727" s="50" t="s">
        <v>20</v>
      </c>
      <c r="C727" s="50" t="s">
        <v>20</v>
      </c>
      <c r="D727" s="51">
        <v>1412114</v>
      </c>
      <c r="E727" s="67" t="s">
        <v>114</v>
      </c>
      <c r="F727" s="68" t="e">
        <f>SUMIF($B$728:$B$734,"article",F728:F734)</f>
        <v>#VALUE!</v>
      </c>
      <c r="G727" s="68" t="e">
        <f>SUMIF($B$728:$B$734,"article",G728:G734)</f>
        <v>#VALUE!</v>
      </c>
      <c r="H727" s="68">
        <f>SUMIF($B$728:$B$734,"article",H728:H734)</f>
        <v>70851656.340000004</v>
      </c>
      <c r="I727" s="68">
        <v>71142658.400000006</v>
      </c>
      <c r="J727" s="68">
        <f>SUMIF($B$728:$B$734,"article",J728:J734)</f>
        <v>65470768.820000008</v>
      </c>
      <c r="K727" s="68">
        <f>SUMIF($B$728:$B$734,"article",K728:K734)</f>
        <v>5380887.5199999958</v>
      </c>
      <c r="L727" s="69">
        <f>+J727/H727</f>
        <v>0.92405417462397188</v>
      </c>
      <c r="M727" s="68"/>
      <c r="N727" s="68"/>
      <c r="O727" s="9"/>
      <c r="Q727" s="23"/>
      <c r="AK727" s="70"/>
      <c r="AL727" s="70"/>
      <c r="AM727" s="70"/>
      <c r="AN727" s="70"/>
      <c r="AO727" s="11">
        <v>1412114</v>
      </c>
    </row>
    <row r="728" spans="1:42" s="62" customFormat="1" ht="27.75" customHeight="1" thickTop="1" thickBot="1" x14ac:dyDescent="0.3">
      <c r="A728" s="56" t="s">
        <v>22</v>
      </c>
      <c r="B728" s="56" t="s">
        <v>22</v>
      </c>
      <c r="C728" s="57">
        <f t="shared" ref="C728:C734" si="413">IF(A727="SECTION",D727,C727)</f>
        <v>1412114</v>
      </c>
      <c r="D728" s="58">
        <v>1</v>
      </c>
      <c r="E728" s="59" t="str">
        <f t="shared" ref="E728:E734" si="414">IF(D728=1, "DEPENSES DE PERSONNEL",  +IF(D728=2,"DEPENSES DE SERVICES ET CHARGES DIVERSES", +IF(D728=3,"ACHATS DE BIENS DE CONSOMMATION ET PETITS MATERIELS",+IF(D728=4,"IMMOBILISATION CORPORELLE",+IF(D728=5,"IMMOBILISATION INCORPORELLE",+IF(D728=7,"SUBVENTIONS,QUOTES-PARTS ET CONTRIB.,ALLOC, INDEMNISATIONS",+IF(D728=8,"AMORTISSEMENT DE LA DETTE",+IF(D728=9,"AUTRES DEPENSES PUBLIQUES",0))))))))</f>
        <v>DEPENSES DE PERSONNEL</v>
      </c>
      <c r="F728" s="60" t="e">
        <f>SUMIFS([49]mensuel_section_article1!$E$3:$E$962,[49]mensuel_section_article1!$B$3:$B$962,C728,[49]mensuel_section_article1!$C$3:$C$962,D728)</f>
        <v>#VALUE!</v>
      </c>
      <c r="G728" s="60" t="e">
        <f>SUMIFS([49]mensuel_section_article1!$G$3:$G$962,[49]mensuel_section_article1!$B$3:$B$962,C728,[49]mensuel_section_article1!$C$3:$C$962,D728)</f>
        <v>#VALUE!</v>
      </c>
      <c r="H728" s="60">
        <v>37558780.290000007</v>
      </c>
      <c r="I728" s="60">
        <v>37849782.299999997</v>
      </c>
      <c r="J728" s="60">
        <v>37026511.510000005</v>
      </c>
      <c r="K728" s="60">
        <f t="shared" ref="K728:K734" si="415">+H728-J728</f>
        <v>532268.78000000119</v>
      </c>
      <c r="L728" s="61">
        <f>+J728/H728</f>
        <v>0.98582837951897717</v>
      </c>
      <c r="M728" s="60"/>
      <c r="N728" s="24"/>
      <c r="O728" s="9"/>
      <c r="Q728" s="63"/>
      <c r="AK728" s="64"/>
      <c r="AL728" s="64"/>
      <c r="AM728" s="64"/>
      <c r="AN728" s="64"/>
      <c r="AO728" s="11">
        <v>1412114</v>
      </c>
      <c r="AP728" s="65" t="str">
        <f t="shared" ref="AP728:AP734" si="416">CONCATENATE(AO728,D728)</f>
        <v>14121141</v>
      </c>
    </row>
    <row r="729" spans="1:42" s="62" customFormat="1" ht="27.75" customHeight="1" thickTop="1" thickBot="1" x14ac:dyDescent="0.3">
      <c r="A729" s="56" t="s">
        <v>22</v>
      </c>
      <c r="B729" s="56" t="s">
        <v>22</v>
      </c>
      <c r="C729" s="57">
        <f t="shared" si="413"/>
        <v>1412114</v>
      </c>
      <c r="D729" s="58">
        <v>2</v>
      </c>
      <c r="E729" s="59" t="str">
        <f t="shared" si="414"/>
        <v>DEPENSES DE SERVICES ET CHARGES DIVERSES</v>
      </c>
      <c r="F729" s="60" t="e">
        <f>SUMIFS([49]mensuel_section_article1!$E$3:$E$962,[49]mensuel_section_article1!$B$3:$B$962,C729,[49]mensuel_section_article1!$C$3:$C$962,D729)</f>
        <v>#VALUE!</v>
      </c>
      <c r="G729" s="60" t="e">
        <f>SUMIFS([49]mensuel_section_article1!$G$3:$G$962,[49]mensuel_section_article1!$B$3:$B$962,C729,[49]mensuel_section_article1!$C$3:$C$962,D729)</f>
        <v>#VALUE!</v>
      </c>
      <c r="H729" s="60">
        <v>33292876.049999997</v>
      </c>
      <c r="I729" s="60">
        <v>33292876.100000001</v>
      </c>
      <c r="J729" s="60">
        <v>28444257.310000002</v>
      </c>
      <c r="K729" s="60">
        <f t="shared" si="415"/>
        <v>4848618.7399999946</v>
      </c>
      <c r="L729" s="61">
        <f>+J729/H729</f>
        <v>0.85436467751484646</v>
      </c>
      <c r="M729" s="60"/>
      <c r="N729" s="24"/>
      <c r="O729" s="9"/>
      <c r="Q729" s="63"/>
      <c r="AK729" s="64"/>
      <c r="AL729" s="64"/>
      <c r="AM729" s="64"/>
      <c r="AN729" s="64"/>
      <c r="AO729" s="11">
        <v>1412114</v>
      </c>
      <c r="AP729" s="65" t="str">
        <f t="shared" si="416"/>
        <v>14121142</v>
      </c>
    </row>
    <row r="730" spans="1:42" s="62" customFormat="1" ht="27.75" hidden="1" customHeight="1" thickTop="1" thickBot="1" x14ac:dyDescent="0.3">
      <c r="A730" s="56" t="s">
        <v>22</v>
      </c>
      <c r="B730" s="56" t="s">
        <v>22</v>
      </c>
      <c r="C730" s="57">
        <f t="shared" si="413"/>
        <v>1412114</v>
      </c>
      <c r="D730" s="58">
        <v>3</v>
      </c>
      <c r="E730" s="59" t="str">
        <f t="shared" si="414"/>
        <v>ACHATS DE BIENS DE CONSOMMATION ET PETITS MATERIELS</v>
      </c>
      <c r="F730" s="60" t="e">
        <f>SUMIFS([49]mensuel_section_article1!$E$3:$E$962,[49]mensuel_section_article1!$B$3:$B$962,C730,[49]mensuel_section_article1!$C$3:$C$962,D730)</f>
        <v>#VALUE!</v>
      </c>
      <c r="G730" s="60" t="e">
        <f>SUMIFS([49]mensuel_section_article1!$G$3:$G$962,[49]mensuel_section_article1!$B$3:$B$962,C730,[49]mensuel_section_article1!$C$3:$C$962,D730)</f>
        <v>#VALUE!</v>
      </c>
      <c r="H730" s="60">
        <v>0</v>
      </c>
      <c r="I730" s="60">
        <v>0</v>
      </c>
      <c r="J730" s="60">
        <v>0</v>
      </c>
      <c r="K730" s="60">
        <f t="shared" si="415"/>
        <v>0</v>
      </c>
      <c r="L730" s="61" t="e">
        <f t="shared" si="412"/>
        <v>#VALUE!</v>
      </c>
      <c r="M730" s="60" t="e">
        <f>+SUMIFS([51]section_article!$H$10:$H$936,[51]section_article!$C$10:$C$936,C730,[51]section_article!$D$10:$D$936,D730)</f>
        <v>#VALUE!</v>
      </c>
      <c r="N730" s="24" t="e">
        <f t="shared" ref="N728:N734" si="417">+J730-M730</f>
        <v>#VALUE!</v>
      </c>
      <c r="O730" s="9"/>
      <c r="Q730" s="63"/>
      <c r="AK730" s="64"/>
      <c r="AL730" s="64"/>
      <c r="AM730" s="64"/>
      <c r="AN730" s="64"/>
      <c r="AO730" s="11">
        <v>1412114</v>
      </c>
      <c r="AP730" s="65" t="str">
        <f t="shared" si="416"/>
        <v>14121143</v>
      </c>
    </row>
    <row r="731" spans="1:42" s="62" customFormat="1" ht="27.75" hidden="1" customHeight="1" thickTop="1" thickBot="1" x14ac:dyDescent="0.3">
      <c r="A731" s="56" t="s">
        <v>22</v>
      </c>
      <c r="B731" s="56" t="s">
        <v>22</v>
      </c>
      <c r="C731" s="57">
        <f t="shared" si="413"/>
        <v>1412114</v>
      </c>
      <c r="D731" s="58">
        <v>4</v>
      </c>
      <c r="E731" s="59" t="str">
        <f t="shared" si="414"/>
        <v>IMMOBILISATION CORPORELLE</v>
      </c>
      <c r="F731" s="60" t="e">
        <f>SUMIFS([49]mensuel_section_article1!$E$3:$E$962,[49]mensuel_section_article1!$B$3:$B$962,C731,[49]mensuel_section_article1!$C$3:$C$962,D731)</f>
        <v>#VALUE!</v>
      </c>
      <c r="G731" s="60" t="e">
        <f>SUMIFS([49]mensuel_section_article1!$G$3:$G$962,[49]mensuel_section_article1!$B$3:$B$962,C731,[49]mensuel_section_article1!$C$3:$C$962,D731)</f>
        <v>#VALUE!</v>
      </c>
      <c r="H731" s="60">
        <v>0</v>
      </c>
      <c r="I731" s="60">
        <v>0</v>
      </c>
      <c r="J731" s="60">
        <v>0</v>
      </c>
      <c r="K731" s="60">
        <f t="shared" si="415"/>
        <v>0</v>
      </c>
      <c r="L731" s="61" t="e">
        <f t="shared" si="412"/>
        <v>#VALUE!</v>
      </c>
      <c r="M731" s="60" t="e">
        <f>+SUMIFS([51]section_article!$H$10:$H$936,[51]section_article!$C$10:$C$936,C731,[51]section_article!$D$10:$D$936,D731)</f>
        <v>#VALUE!</v>
      </c>
      <c r="N731" s="24" t="e">
        <f t="shared" si="417"/>
        <v>#VALUE!</v>
      </c>
      <c r="O731" s="9"/>
      <c r="Q731" s="63"/>
      <c r="AK731" s="64"/>
      <c r="AL731" s="64"/>
      <c r="AM731" s="64"/>
      <c r="AN731" s="64"/>
      <c r="AO731" s="11">
        <v>1412114</v>
      </c>
      <c r="AP731" s="65" t="str">
        <f t="shared" si="416"/>
        <v>14121144</v>
      </c>
    </row>
    <row r="732" spans="1:42" s="62" customFormat="1" ht="27.75" hidden="1" customHeight="1" thickTop="1" thickBot="1" x14ac:dyDescent="0.3">
      <c r="A732" s="56" t="s">
        <v>22</v>
      </c>
      <c r="B732" s="56" t="s">
        <v>22</v>
      </c>
      <c r="C732" s="57">
        <f t="shared" si="413"/>
        <v>1412114</v>
      </c>
      <c r="D732" s="58">
        <v>5</v>
      </c>
      <c r="E732" s="59" t="str">
        <f t="shared" si="414"/>
        <v>IMMOBILISATION INCORPORELLE</v>
      </c>
      <c r="F732" s="60" t="e">
        <f>SUMIFS([49]mensuel_section_article1!$E$3:$E$962,[49]mensuel_section_article1!$B$3:$B$962,C732,[49]mensuel_section_article1!$C$3:$C$962,D732)</f>
        <v>#VALUE!</v>
      </c>
      <c r="G732" s="60" t="e">
        <f>SUMIFS([49]mensuel_section_article1!$G$3:$G$962,[49]mensuel_section_article1!$B$3:$B$962,C732,[49]mensuel_section_article1!$C$3:$C$962,D732)</f>
        <v>#VALUE!</v>
      </c>
      <c r="H732" s="60">
        <v>0</v>
      </c>
      <c r="I732" s="60">
        <v>0</v>
      </c>
      <c r="J732" s="60">
        <v>0</v>
      </c>
      <c r="K732" s="60">
        <f t="shared" si="415"/>
        <v>0</v>
      </c>
      <c r="L732" s="61" t="e">
        <f t="shared" si="412"/>
        <v>#VALUE!</v>
      </c>
      <c r="M732" s="60" t="e">
        <f>+SUMIFS([51]section_article!$H$10:$H$936,[51]section_article!$C$10:$C$936,C732,[51]section_article!$D$10:$D$936,D732)</f>
        <v>#VALUE!</v>
      </c>
      <c r="N732" s="24" t="e">
        <f t="shared" si="417"/>
        <v>#VALUE!</v>
      </c>
      <c r="O732" s="9"/>
      <c r="Q732" s="63"/>
      <c r="AK732" s="64"/>
      <c r="AL732" s="64"/>
      <c r="AM732" s="64"/>
      <c r="AN732" s="64"/>
      <c r="AO732" s="11">
        <v>1412114</v>
      </c>
      <c r="AP732" s="65" t="str">
        <f t="shared" si="416"/>
        <v>14121145</v>
      </c>
    </row>
    <row r="733" spans="1:42" s="62" customFormat="1" ht="27.75" hidden="1" customHeight="1" thickTop="1" thickBot="1" x14ac:dyDescent="0.3">
      <c r="A733" s="56" t="s">
        <v>22</v>
      </c>
      <c r="B733" s="56" t="s">
        <v>22</v>
      </c>
      <c r="C733" s="57">
        <f t="shared" si="413"/>
        <v>1412114</v>
      </c>
      <c r="D733" s="58">
        <v>7</v>
      </c>
      <c r="E733" s="59" t="str">
        <f t="shared" si="414"/>
        <v>SUBVENTIONS,QUOTES-PARTS ET CONTRIB.,ALLOC, INDEMNISATIONS</v>
      </c>
      <c r="F733" s="60" t="e">
        <f>SUMIFS([49]mensuel_section_article1!$E$3:$E$962,[49]mensuel_section_article1!$B$3:$B$962,C733,[49]mensuel_section_article1!$C$3:$C$962,D733)</f>
        <v>#VALUE!</v>
      </c>
      <c r="G733" s="60" t="e">
        <f>SUMIFS([49]mensuel_section_article1!$G$3:$G$962,[49]mensuel_section_article1!$B$3:$B$962,C733,[49]mensuel_section_article1!$C$3:$C$962,D733)</f>
        <v>#VALUE!</v>
      </c>
      <c r="H733" s="60">
        <v>0</v>
      </c>
      <c r="I733" s="60">
        <v>0</v>
      </c>
      <c r="J733" s="60">
        <v>0</v>
      </c>
      <c r="K733" s="60">
        <f t="shared" si="415"/>
        <v>0</v>
      </c>
      <c r="L733" s="61" t="e">
        <f t="shared" si="412"/>
        <v>#VALUE!</v>
      </c>
      <c r="M733" s="60" t="e">
        <f>+SUMIFS([51]section_article!$H$10:$H$936,[51]section_article!$C$10:$C$936,C733,[51]section_article!$D$10:$D$936,D733)</f>
        <v>#VALUE!</v>
      </c>
      <c r="N733" s="24" t="e">
        <f t="shared" si="417"/>
        <v>#VALUE!</v>
      </c>
      <c r="O733" s="9"/>
      <c r="Q733" s="63"/>
      <c r="AK733" s="64"/>
      <c r="AL733" s="64"/>
      <c r="AM733" s="64"/>
      <c r="AN733" s="64"/>
      <c r="AO733" s="11">
        <v>1412114</v>
      </c>
      <c r="AP733" s="65" t="str">
        <f t="shared" si="416"/>
        <v>14121147</v>
      </c>
    </row>
    <row r="734" spans="1:42" s="62" customFormat="1" ht="27.75" hidden="1" customHeight="1" thickTop="1" thickBot="1" x14ac:dyDescent="0.3">
      <c r="A734" s="56" t="s">
        <v>22</v>
      </c>
      <c r="B734" s="56" t="s">
        <v>22</v>
      </c>
      <c r="C734" s="57">
        <f t="shared" si="413"/>
        <v>1412114</v>
      </c>
      <c r="D734" s="58">
        <v>9</v>
      </c>
      <c r="E734" s="59" t="str">
        <f t="shared" si="414"/>
        <v>AUTRES DEPENSES PUBLIQUES</v>
      </c>
      <c r="F734" s="60" t="e">
        <f>SUMIFS([49]mensuel_section_article1!$E$3:$E$962,[49]mensuel_section_article1!$B$3:$B$962,C734,[49]mensuel_section_article1!$C$3:$C$962,D734)</f>
        <v>#VALUE!</v>
      </c>
      <c r="G734" s="60" t="e">
        <f>SUMIFS([49]mensuel_section_article1!$G$3:$G$962,[49]mensuel_section_article1!$B$3:$B$962,C734,[49]mensuel_section_article1!$C$3:$C$962,D734)</f>
        <v>#VALUE!</v>
      </c>
      <c r="H734" s="60">
        <v>0</v>
      </c>
      <c r="I734" s="60">
        <v>0</v>
      </c>
      <c r="J734" s="60">
        <v>0</v>
      </c>
      <c r="K734" s="60">
        <f t="shared" si="415"/>
        <v>0</v>
      </c>
      <c r="L734" s="61" t="e">
        <f t="shared" si="412"/>
        <v>#VALUE!</v>
      </c>
      <c r="M734" s="60" t="e">
        <f>+SUMIFS([51]section_article!$H$10:$H$936,[51]section_article!$C$10:$C$936,C734,[51]section_article!$D$10:$D$936,D734)</f>
        <v>#VALUE!</v>
      </c>
      <c r="N734" s="24" t="e">
        <f t="shared" si="417"/>
        <v>#VALUE!</v>
      </c>
      <c r="O734" s="64"/>
      <c r="P734" s="64"/>
      <c r="Q734" s="64"/>
      <c r="R734" s="64" t="e">
        <f>SUM(#REF!)</f>
        <v>#REF!</v>
      </c>
      <c r="S734" s="64" t="e">
        <f>SUM(#REF!)</f>
        <v>#REF!</v>
      </c>
      <c r="T734" s="64" t="e">
        <f>SUM(#REF!)</f>
        <v>#REF!</v>
      </c>
      <c r="U734" s="64" t="e">
        <f>SUM(#REF!)</f>
        <v>#REF!</v>
      </c>
      <c r="V734" s="64" t="e">
        <f>SUM(#REF!)</f>
        <v>#REF!</v>
      </c>
      <c r="W734" s="64" t="e">
        <f>SUM(#REF!)</f>
        <v>#REF!</v>
      </c>
      <c r="X734" s="64" t="e">
        <f>SUM(#REF!)</f>
        <v>#REF!</v>
      </c>
      <c r="Y734" s="64" t="e">
        <f>SUM(#REF!)</f>
        <v>#REF!</v>
      </c>
      <c r="Z734" s="64" t="e">
        <f>SUM(#REF!)</f>
        <v>#REF!</v>
      </c>
      <c r="AA734" s="64" t="e">
        <f>SUM(#REF!)</f>
        <v>#REF!</v>
      </c>
      <c r="AB734" s="64" t="e">
        <f>SUM(#REF!)</f>
        <v>#REF!</v>
      </c>
      <c r="AC734" s="64" t="e">
        <f>SUM(#REF!)</f>
        <v>#REF!</v>
      </c>
      <c r="AD734" s="64" t="e">
        <f>SUM(#REF!)</f>
        <v>#REF!</v>
      </c>
      <c r="AE734" s="64" t="e">
        <f>SUM(#REF!)</f>
        <v>#REF!</v>
      </c>
      <c r="AF734" s="64" t="e">
        <f>SUM(#REF!)</f>
        <v>#REF!</v>
      </c>
      <c r="AG734" s="64" t="e">
        <f>SUM(#REF!)</f>
        <v>#REF!</v>
      </c>
      <c r="AH734" s="64" t="e">
        <f>SUM(#REF!)</f>
        <v>#REF!</v>
      </c>
      <c r="AI734" s="64" t="e">
        <f>SUM(#REF!)</f>
        <v>#REF!</v>
      </c>
      <c r="AJ734" s="64" t="e">
        <f>SUM(#REF!)</f>
        <v>#REF!</v>
      </c>
      <c r="AK734" s="64"/>
      <c r="AL734" s="64"/>
      <c r="AM734" s="64"/>
      <c r="AN734" s="64" t="e">
        <f>SUM(#REF!)</f>
        <v>#REF!</v>
      </c>
      <c r="AO734" s="11">
        <v>1412114</v>
      </c>
      <c r="AP734" s="65" t="str">
        <f t="shared" si="416"/>
        <v>14121149</v>
      </c>
    </row>
    <row r="735" spans="1:42" s="1" customFormat="1" ht="27.75" customHeight="1" thickTop="1" thickBot="1" x14ac:dyDescent="0.3">
      <c r="A735" s="50" t="s">
        <v>20</v>
      </c>
      <c r="B735" s="50" t="s">
        <v>20</v>
      </c>
      <c r="C735" s="50" t="s">
        <v>20</v>
      </c>
      <c r="D735" s="51">
        <v>1412115</v>
      </c>
      <c r="E735" s="67" t="s">
        <v>115</v>
      </c>
      <c r="F735" s="68" t="e">
        <f>SUMIF($B$736:$B$742,"article",F736:F742)</f>
        <v>#VALUE!</v>
      </c>
      <c r="G735" s="68" t="e">
        <f>SUMIF($B$736:$B$742,"article",G736:G742)</f>
        <v>#VALUE!</v>
      </c>
      <c r="H735" s="68">
        <f>SUMIF($B$736:$B$742,"article",H736:H742)</f>
        <v>55684113.933999993</v>
      </c>
      <c r="I735" s="68">
        <v>55684113.900000006</v>
      </c>
      <c r="J735" s="68">
        <f>SUMIF($B$736:$B$742,"article",J736:J742)</f>
        <v>50956469.490000002</v>
      </c>
      <c r="K735" s="68">
        <f>SUMIF($B$736:$B$742,"article",K736:K742)</f>
        <v>4727644.4439999927</v>
      </c>
      <c r="L735" s="69">
        <f>+J735/H735</f>
        <v>0.91509886554712061</v>
      </c>
      <c r="M735" s="68"/>
      <c r="N735" s="68"/>
      <c r="O735" s="9"/>
      <c r="Q735" s="23"/>
      <c r="AK735" s="70"/>
      <c r="AL735" s="70"/>
      <c r="AM735" s="70"/>
      <c r="AN735" s="70"/>
      <c r="AO735" s="11">
        <v>1412115</v>
      </c>
    </row>
    <row r="736" spans="1:42" s="62" customFormat="1" ht="27.75" customHeight="1" thickTop="1" thickBot="1" x14ac:dyDescent="0.3">
      <c r="A736" s="56" t="s">
        <v>22</v>
      </c>
      <c r="B736" s="56" t="s">
        <v>22</v>
      </c>
      <c r="C736" s="57">
        <f t="shared" ref="C736:C742" si="418">IF(A735="SECTION",D735,C735)</f>
        <v>1412115</v>
      </c>
      <c r="D736" s="58">
        <v>1</v>
      </c>
      <c r="E736" s="59" t="str">
        <f t="shared" ref="E736:E742" si="419">IF(D736=1, "DEPENSES DE PERSONNEL",  +IF(D736=2,"DEPENSES DE SERVICES ET CHARGES DIVERSES", +IF(D736=3,"ACHATS DE BIENS DE CONSOMMATION ET PETITS MATERIELS",+IF(D736=4,"IMMOBILISATION CORPORELLE",+IF(D736=5,"IMMOBILISATION INCORPORELLE",+IF(D736=7,"SUBVENTIONS,QUOTES-PARTS ET CONTRIB.,ALLOC, INDEMNISATIONS",+IF(D736=8,"AMORTISSEMENT DE LA DETTE",+IF(D736=9,"AUTRES DEPENSES PUBLIQUES",0))))))))</f>
        <v>DEPENSES DE PERSONNEL</v>
      </c>
      <c r="F736" s="60" t="e">
        <f>SUMIFS([49]mensuel_section_article1!$E$3:$E$962,[49]mensuel_section_article1!$B$3:$B$962,C736,[49]mensuel_section_article1!$C$3:$C$962,D736)</f>
        <v>#VALUE!</v>
      </c>
      <c r="G736" s="60" t="e">
        <f>SUMIFS([49]mensuel_section_article1!$G$3:$G$962,[49]mensuel_section_article1!$B$3:$B$962,C736,[49]mensuel_section_article1!$C$3:$C$962,D736)</f>
        <v>#VALUE!</v>
      </c>
      <c r="H736" s="60">
        <v>43684113.849999994</v>
      </c>
      <c r="I736" s="60">
        <v>43684113.800000004</v>
      </c>
      <c r="J736" s="60">
        <v>41284030</v>
      </c>
      <c r="K736" s="60">
        <f t="shared" ref="K736:K742" si="420">+H736-J736</f>
        <v>2400083.849999994</v>
      </c>
      <c r="L736" s="61">
        <f>+J736/H736</f>
        <v>0.94505819991584894</v>
      </c>
      <c r="M736" s="60"/>
      <c r="N736" s="24"/>
      <c r="O736" s="9"/>
      <c r="Q736" s="63"/>
      <c r="AK736" s="64"/>
      <c r="AL736" s="64"/>
      <c r="AM736" s="64"/>
      <c r="AN736" s="64"/>
      <c r="AO736" s="11">
        <v>1412115</v>
      </c>
      <c r="AP736" s="65" t="str">
        <f t="shared" ref="AP736:AP742" si="421">CONCATENATE(AO736,D736)</f>
        <v>14121151</v>
      </c>
    </row>
    <row r="737" spans="1:42" s="62" customFormat="1" ht="27.75" customHeight="1" thickTop="1" thickBot="1" x14ac:dyDescent="0.3">
      <c r="A737" s="56" t="s">
        <v>22</v>
      </c>
      <c r="B737" s="56" t="s">
        <v>22</v>
      </c>
      <c r="C737" s="57">
        <f t="shared" si="418"/>
        <v>1412115</v>
      </c>
      <c r="D737" s="58">
        <v>2</v>
      </c>
      <c r="E737" s="59" t="str">
        <f t="shared" si="419"/>
        <v>DEPENSES DE SERVICES ET CHARGES DIVERSES</v>
      </c>
      <c r="F737" s="60" t="e">
        <f>SUMIFS([49]mensuel_section_article1!$E$3:$E$962,[49]mensuel_section_article1!$B$3:$B$962,C737,[49]mensuel_section_article1!$C$3:$C$962,D737)</f>
        <v>#VALUE!</v>
      </c>
      <c r="G737" s="60" t="e">
        <f>SUMIFS([49]mensuel_section_article1!$G$3:$G$962,[49]mensuel_section_article1!$B$3:$B$962,C737,[49]mensuel_section_article1!$C$3:$C$962,D737)</f>
        <v>#VALUE!</v>
      </c>
      <c r="H737" s="60">
        <v>12000000.083999999</v>
      </c>
      <c r="I737" s="60">
        <v>12000000.1</v>
      </c>
      <c r="J737" s="60">
        <v>9672439.4900000002</v>
      </c>
      <c r="K737" s="60">
        <f t="shared" si="420"/>
        <v>2327560.5939999986</v>
      </c>
      <c r="L737" s="61">
        <f>+J737/H737</f>
        <v>0.80603661852441044</v>
      </c>
      <c r="M737" s="60"/>
      <c r="N737" s="24"/>
      <c r="O737" s="9"/>
      <c r="Q737" s="63"/>
      <c r="AK737" s="64"/>
      <c r="AL737" s="64"/>
      <c r="AM737" s="64"/>
      <c r="AN737" s="64"/>
      <c r="AO737" s="11">
        <v>1412115</v>
      </c>
      <c r="AP737" s="65" t="str">
        <f t="shared" si="421"/>
        <v>14121152</v>
      </c>
    </row>
    <row r="738" spans="1:42" s="62" customFormat="1" ht="27.75" hidden="1" customHeight="1" thickTop="1" thickBot="1" x14ac:dyDescent="0.3">
      <c r="A738" s="56" t="s">
        <v>22</v>
      </c>
      <c r="B738" s="56" t="s">
        <v>22</v>
      </c>
      <c r="C738" s="57">
        <f t="shared" si="418"/>
        <v>1412115</v>
      </c>
      <c r="D738" s="58">
        <v>3</v>
      </c>
      <c r="E738" s="59" t="str">
        <f t="shared" si="419"/>
        <v>ACHATS DE BIENS DE CONSOMMATION ET PETITS MATERIELS</v>
      </c>
      <c r="F738" s="60" t="e">
        <f>SUMIFS([49]mensuel_section_article1!$E$3:$E$962,[49]mensuel_section_article1!$B$3:$B$962,C738,[49]mensuel_section_article1!$C$3:$C$962,D738)</f>
        <v>#VALUE!</v>
      </c>
      <c r="G738" s="60" t="e">
        <f>SUMIFS([49]mensuel_section_article1!$G$3:$G$962,[49]mensuel_section_article1!$B$3:$B$962,C738,[49]mensuel_section_article1!$C$3:$C$962,D738)</f>
        <v>#VALUE!</v>
      </c>
      <c r="H738" s="60">
        <v>0</v>
      </c>
      <c r="I738" s="60">
        <v>0</v>
      </c>
      <c r="J738" s="60">
        <v>0</v>
      </c>
      <c r="K738" s="60">
        <f t="shared" si="420"/>
        <v>0</v>
      </c>
      <c r="L738" s="61" t="e">
        <f t="shared" si="412"/>
        <v>#VALUE!</v>
      </c>
      <c r="M738" s="60" t="e">
        <f>+SUMIFS([51]section_article!$H$10:$H$936,[51]section_article!$C$10:$C$936,C738,[51]section_article!$D$10:$D$936,D738)</f>
        <v>#VALUE!</v>
      </c>
      <c r="N738" s="24" t="e">
        <f t="shared" ref="N736:N742" si="422">+J738-M738</f>
        <v>#VALUE!</v>
      </c>
      <c r="O738" s="9"/>
      <c r="Q738" s="66"/>
      <c r="AK738" s="64"/>
      <c r="AL738" s="64"/>
      <c r="AM738" s="64"/>
      <c r="AN738" s="64"/>
      <c r="AO738" s="11">
        <v>1412115</v>
      </c>
      <c r="AP738" s="65" t="str">
        <f t="shared" si="421"/>
        <v>14121153</v>
      </c>
    </row>
    <row r="739" spans="1:42" s="62" customFormat="1" ht="27.75" hidden="1" customHeight="1" thickTop="1" thickBot="1" x14ac:dyDescent="0.3">
      <c r="A739" s="56" t="s">
        <v>22</v>
      </c>
      <c r="B739" s="56" t="s">
        <v>22</v>
      </c>
      <c r="C739" s="57">
        <f t="shared" si="418"/>
        <v>1412115</v>
      </c>
      <c r="D739" s="58">
        <v>4</v>
      </c>
      <c r="E739" s="59" t="str">
        <f t="shared" si="419"/>
        <v>IMMOBILISATION CORPORELLE</v>
      </c>
      <c r="F739" s="60" t="e">
        <f>SUMIFS([49]mensuel_section_article1!$E$3:$E$962,[49]mensuel_section_article1!$B$3:$B$962,C739,[49]mensuel_section_article1!$C$3:$C$962,D739)</f>
        <v>#VALUE!</v>
      </c>
      <c r="G739" s="60" t="e">
        <f>SUMIFS([49]mensuel_section_article1!$G$3:$G$962,[49]mensuel_section_article1!$B$3:$B$962,C739,[49]mensuel_section_article1!$C$3:$C$962,D739)</f>
        <v>#VALUE!</v>
      </c>
      <c r="H739" s="60">
        <v>0</v>
      </c>
      <c r="I739" s="60">
        <v>0</v>
      </c>
      <c r="J739" s="60">
        <v>0</v>
      </c>
      <c r="K739" s="60">
        <f t="shared" si="420"/>
        <v>0</v>
      </c>
      <c r="L739" s="61" t="e">
        <f t="shared" si="412"/>
        <v>#VALUE!</v>
      </c>
      <c r="M739" s="60" t="e">
        <f>+SUMIFS([51]section_article!$H$10:$H$936,[51]section_article!$C$10:$C$936,C739,[51]section_article!$D$10:$D$936,D739)</f>
        <v>#VALUE!</v>
      </c>
      <c r="N739" s="24" t="e">
        <f t="shared" si="422"/>
        <v>#VALUE!</v>
      </c>
      <c r="O739" s="9"/>
      <c r="Q739" s="63"/>
      <c r="AK739" s="64"/>
      <c r="AL739" s="64"/>
      <c r="AM739" s="64"/>
      <c r="AN739" s="64"/>
      <c r="AO739" s="11">
        <v>1412115</v>
      </c>
      <c r="AP739" s="65" t="str">
        <f t="shared" si="421"/>
        <v>14121154</v>
      </c>
    </row>
    <row r="740" spans="1:42" s="62" customFormat="1" ht="27.75" hidden="1" customHeight="1" thickTop="1" thickBot="1" x14ac:dyDescent="0.3">
      <c r="A740" s="56" t="s">
        <v>22</v>
      </c>
      <c r="B740" s="56" t="s">
        <v>22</v>
      </c>
      <c r="C740" s="57">
        <f t="shared" si="418"/>
        <v>1412115</v>
      </c>
      <c r="D740" s="58">
        <v>5</v>
      </c>
      <c r="E740" s="59" t="str">
        <f t="shared" si="419"/>
        <v>IMMOBILISATION INCORPORELLE</v>
      </c>
      <c r="F740" s="60" t="e">
        <f>SUMIFS([49]mensuel_section_article1!$E$3:$E$962,[49]mensuel_section_article1!$B$3:$B$962,C740,[49]mensuel_section_article1!$C$3:$C$962,D740)</f>
        <v>#VALUE!</v>
      </c>
      <c r="G740" s="60" t="e">
        <f>SUMIFS([49]mensuel_section_article1!$G$3:$G$962,[49]mensuel_section_article1!$B$3:$B$962,C740,[49]mensuel_section_article1!$C$3:$C$962,D740)</f>
        <v>#VALUE!</v>
      </c>
      <c r="H740" s="60">
        <v>0</v>
      </c>
      <c r="I740" s="60">
        <v>0</v>
      </c>
      <c r="J740" s="60">
        <v>0</v>
      </c>
      <c r="K740" s="60">
        <f t="shared" si="420"/>
        <v>0</v>
      </c>
      <c r="L740" s="61" t="e">
        <f t="shared" si="412"/>
        <v>#VALUE!</v>
      </c>
      <c r="M740" s="60" t="e">
        <f>+SUMIFS([51]section_article!$H$10:$H$936,[51]section_article!$C$10:$C$936,C740,[51]section_article!$D$10:$D$936,D740)</f>
        <v>#VALUE!</v>
      </c>
      <c r="N740" s="24" t="e">
        <f t="shared" si="422"/>
        <v>#VALUE!</v>
      </c>
      <c r="O740" s="9"/>
      <c r="Q740" s="63"/>
      <c r="AK740" s="64"/>
      <c r="AL740" s="64"/>
      <c r="AM740" s="64"/>
      <c r="AN740" s="64"/>
      <c r="AO740" s="11">
        <v>1412115</v>
      </c>
      <c r="AP740" s="65" t="str">
        <f t="shared" si="421"/>
        <v>14121155</v>
      </c>
    </row>
    <row r="741" spans="1:42" s="62" customFormat="1" ht="27.75" hidden="1" customHeight="1" thickTop="1" thickBot="1" x14ac:dyDescent="0.3">
      <c r="A741" s="56" t="s">
        <v>22</v>
      </c>
      <c r="B741" s="56" t="s">
        <v>22</v>
      </c>
      <c r="C741" s="57">
        <f t="shared" si="418"/>
        <v>1412115</v>
      </c>
      <c r="D741" s="58">
        <v>7</v>
      </c>
      <c r="E741" s="59" t="str">
        <f t="shared" si="419"/>
        <v>SUBVENTIONS,QUOTES-PARTS ET CONTRIB.,ALLOC, INDEMNISATIONS</v>
      </c>
      <c r="F741" s="60" t="e">
        <f>SUMIFS([49]mensuel_section_article1!$E$3:$E$962,[49]mensuel_section_article1!$B$3:$B$962,C741,[49]mensuel_section_article1!$C$3:$C$962,D741)</f>
        <v>#VALUE!</v>
      </c>
      <c r="G741" s="60" t="e">
        <f>SUMIFS([49]mensuel_section_article1!$G$3:$G$962,[49]mensuel_section_article1!$B$3:$B$962,C741,[49]mensuel_section_article1!$C$3:$C$962,D741)</f>
        <v>#VALUE!</v>
      </c>
      <c r="H741" s="60">
        <v>0</v>
      </c>
      <c r="I741" s="60">
        <v>0</v>
      </c>
      <c r="J741" s="60">
        <v>0</v>
      </c>
      <c r="K741" s="60">
        <f t="shared" si="420"/>
        <v>0</v>
      </c>
      <c r="L741" s="61" t="e">
        <f t="shared" si="412"/>
        <v>#VALUE!</v>
      </c>
      <c r="M741" s="60" t="e">
        <f>+SUMIFS([51]section_article!$H$10:$H$936,[51]section_article!$C$10:$C$936,C741,[51]section_article!$D$10:$D$936,D741)</f>
        <v>#VALUE!</v>
      </c>
      <c r="N741" s="24" t="e">
        <f t="shared" si="422"/>
        <v>#VALUE!</v>
      </c>
      <c r="O741" s="9"/>
      <c r="Q741" s="63"/>
      <c r="AK741" s="64"/>
      <c r="AL741" s="64"/>
      <c r="AM741" s="64"/>
      <c r="AN741" s="64"/>
      <c r="AO741" s="11">
        <v>1412115</v>
      </c>
      <c r="AP741" s="65" t="str">
        <f t="shared" si="421"/>
        <v>14121157</v>
      </c>
    </row>
    <row r="742" spans="1:42" s="62" customFormat="1" ht="27.75" hidden="1" customHeight="1" thickTop="1" thickBot="1" x14ac:dyDescent="0.3">
      <c r="A742" s="56" t="s">
        <v>22</v>
      </c>
      <c r="B742" s="56" t="s">
        <v>22</v>
      </c>
      <c r="C742" s="57">
        <f t="shared" si="418"/>
        <v>1412115</v>
      </c>
      <c r="D742" s="58">
        <v>9</v>
      </c>
      <c r="E742" s="59" t="str">
        <f t="shared" si="419"/>
        <v>AUTRES DEPENSES PUBLIQUES</v>
      </c>
      <c r="F742" s="60" t="e">
        <f>SUMIFS([49]mensuel_section_article1!$E$3:$E$962,[49]mensuel_section_article1!$B$3:$B$962,C742,[49]mensuel_section_article1!$C$3:$C$962,D742)</f>
        <v>#VALUE!</v>
      </c>
      <c r="G742" s="60" t="e">
        <f>SUMIFS([49]mensuel_section_article1!$G$3:$G$962,[49]mensuel_section_article1!$B$3:$B$962,C742,[49]mensuel_section_article1!$C$3:$C$962,D742)</f>
        <v>#VALUE!</v>
      </c>
      <c r="H742" s="60">
        <v>0</v>
      </c>
      <c r="I742" s="60">
        <v>0</v>
      </c>
      <c r="J742" s="60">
        <v>0</v>
      </c>
      <c r="K742" s="60">
        <f t="shared" si="420"/>
        <v>0</v>
      </c>
      <c r="L742" s="61" t="e">
        <f t="shared" si="412"/>
        <v>#VALUE!</v>
      </c>
      <c r="M742" s="60" t="e">
        <f>+SUMIFS([51]section_article!$H$10:$H$936,[51]section_article!$C$10:$C$936,C742,[51]section_article!$D$10:$D$936,D742)</f>
        <v>#VALUE!</v>
      </c>
      <c r="N742" s="24" t="e">
        <f t="shared" si="422"/>
        <v>#VALUE!</v>
      </c>
      <c r="O742" s="9"/>
      <c r="Q742" s="63"/>
      <c r="AK742" s="64"/>
      <c r="AL742" s="64"/>
      <c r="AM742" s="64"/>
      <c r="AN742" s="64"/>
      <c r="AO742" s="11">
        <v>1412115</v>
      </c>
      <c r="AP742" s="65" t="str">
        <f t="shared" si="421"/>
        <v>14121159</v>
      </c>
    </row>
    <row r="743" spans="1:42" s="1" customFormat="1" ht="27.75" customHeight="1" thickTop="1" thickBot="1" x14ac:dyDescent="0.3">
      <c r="A743" s="50" t="s">
        <v>20</v>
      </c>
      <c r="B743" s="50" t="s">
        <v>20</v>
      </c>
      <c r="C743" s="50" t="s">
        <v>20</v>
      </c>
      <c r="D743" s="51">
        <v>1412116</v>
      </c>
      <c r="E743" s="67" t="s">
        <v>116</v>
      </c>
      <c r="F743" s="68" t="e">
        <f>SUMIF($B$744:$B$750,"article",F744:F750)</f>
        <v>#VALUE!</v>
      </c>
      <c r="G743" s="68" t="e">
        <f>SUMIF($B$744:$B$750,"article",G744:G750)</f>
        <v>#VALUE!</v>
      </c>
      <c r="H743" s="68">
        <f>SUMIF($B$744:$B$750,"article",H744:H750)</f>
        <v>49083923.175999999</v>
      </c>
      <c r="I743" s="68">
        <v>49083923.200000003</v>
      </c>
      <c r="J743" s="68">
        <f>SUMIF($B$744:$B$750,"article",J744:J750)</f>
        <v>40852730.769999996</v>
      </c>
      <c r="K743" s="68">
        <f>SUMIF($B$744:$B$750,"article",K744:K750)</f>
        <v>8231192.4059999995</v>
      </c>
      <c r="L743" s="69">
        <f>+J743/H743</f>
        <v>0.83230369796469905</v>
      </c>
      <c r="M743" s="68"/>
      <c r="N743" s="68"/>
      <c r="O743" s="9"/>
      <c r="Q743" s="23"/>
      <c r="AK743" s="70"/>
      <c r="AL743" s="70"/>
      <c r="AM743" s="70"/>
      <c r="AN743" s="70"/>
      <c r="AO743" s="11">
        <v>1412116</v>
      </c>
    </row>
    <row r="744" spans="1:42" s="62" customFormat="1" ht="27.75" customHeight="1" thickTop="1" thickBot="1" x14ac:dyDescent="0.3">
      <c r="A744" s="56" t="s">
        <v>22</v>
      </c>
      <c r="B744" s="56" t="s">
        <v>22</v>
      </c>
      <c r="C744" s="57">
        <f t="shared" ref="C744:C750" si="423">IF(A743="SECTION",D743,C743)</f>
        <v>1412116</v>
      </c>
      <c r="D744" s="58">
        <v>1</v>
      </c>
      <c r="E744" s="59" t="str">
        <f t="shared" ref="E744:E750" si="424">IF(D744=1, "DEPENSES DE PERSONNEL",  +IF(D744=2,"DEPENSES DE SERVICES ET CHARGES DIVERSES", +IF(D744=3,"ACHATS DE BIENS DE CONSOMMATION ET PETITS MATERIELS",+IF(D744=4,"IMMOBILISATION CORPORELLE",+IF(D744=5,"IMMOBILISATION INCORPORELLE",+IF(D744=7,"SUBVENTIONS,QUOTES-PARTS ET CONTRIB.,ALLOC, INDEMNISATIONS",+IF(D744=8,"AMORTISSEMENT DE LA DETTE",+IF(D744=9,"AUTRES DEPENSES PUBLIQUES",0))))))))</f>
        <v>DEPENSES DE PERSONNEL</v>
      </c>
      <c r="F744" s="60" t="e">
        <f>SUMIFS([49]mensuel_section_article1!$E$3:$E$962,[49]mensuel_section_article1!$B$3:$B$962,C744,[49]mensuel_section_article1!$C$3:$C$962,D744)</f>
        <v>#VALUE!</v>
      </c>
      <c r="G744" s="60" t="e">
        <f>SUMIFS([49]mensuel_section_article1!$G$3:$G$962,[49]mensuel_section_article1!$B$3:$B$962,C744,[49]mensuel_section_article1!$C$3:$C$962,D744)</f>
        <v>#VALUE!</v>
      </c>
      <c r="H744" s="60">
        <v>24328499.960000001</v>
      </c>
      <c r="I744" s="60">
        <v>24328500</v>
      </c>
      <c r="J744" s="60">
        <v>19956957.75</v>
      </c>
      <c r="K744" s="60">
        <f t="shared" ref="K744:K750" si="425">+H744-J744</f>
        <v>4371542.2100000009</v>
      </c>
      <c r="L744" s="61">
        <f>+J744/H744</f>
        <v>0.82031188864140714</v>
      </c>
      <c r="M744" s="60"/>
      <c r="N744" s="24"/>
      <c r="O744" s="9"/>
      <c r="Q744" s="63"/>
      <c r="AK744" s="64"/>
      <c r="AL744" s="64"/>
      <c r="AM744" s="64"/>
      <c r="AN744" s="64"/>
      <c r="AO744" s="11">
        <v>1412116</v>
      </c>
      <c r="AP744" s="65" t="str">
        <f t="shared" ref="AP744:AP750" si="426">CONCATENATE(AO744,D744)</f>
        <v>14121161</v>
      </c>
    </row>
    <row r="745" spans="1:42" s="62" customFormat="1" ht="27.75" customHeight="1" thickTop="1" thickBot="1" x14ac:dyDescent="0.3">
      <c r="A745" s="56" t="s">
        <v>22</v>
      </c>
      <c r="B745" s="56" t="s">
        <v>22</v>
      </c>
      <c r="C745" s="57">
        <f t="shared" si="423"/>
        <v>1412116</v>
      </c>
      <c r="D745" s="58">
        <v>2</v>
      </c>
      <c r="E745" s="59" t="str">
        <f t="shared" si="424"/>
        <v>DEPENSES DE SERVICES ET CHARGES DIVERSES</v>
      </c>
      <c r="F745" s="60" t="e">
        <f>SUMIFS([49]mensuel_section_article1!$E$3:$E$962,[49]mensuel_section_article1!$B$3:$B$962,C745,[49]mensuel_section_article1!$C$3:$C$962,D745)</f>
        <v>#VALUE!</v>
      </c>
      <c r="G745" s="60" t="e">
        <f>SUMIFS([49]mensuel_section_article1!$G$3:$G$962,[49]mensuel_section_article1!$B$3:$B$962,C745,[49]mensuel_section_article1!$C$3:$C$962,D745)</f>
        <v>#VALUE!</v>
      </c>
      <c r="H745" s="60">
        <v>24755423.215999998</v>
      </c>
      <c r="I745" s="60">
        <v>24755423.199999999</v>
      </c>
      <c r="J745" s="60">
        <v>20895773.02</v>
      </c>
      <c r="K745" s="60">
        <f t="shared" si="425"/>
        <v>3859650.1959999986</v>
      </c>
      <c r="L745" s="61">
        <f>+J745/H745</f>
        <v>0.84408870079403775</v>
      </c>
      <c r="M745" s="60"/>
      <c r="N745" s="24"/>
      <c r="O745" s="9"/>
      <c r="Q745" s="63"/>
      <c r="AK745" s="64"/>
      <c r="AL745" s="64"/>
      <c r="AM745" s="64"/>
      <c r="AN745" s="64"/>
      <c r="AO745" s="11">
        <v>1412116</v>
      </c>
      <c r="AP745" s="65" t="str">
        <f t="shared" si="426"/>
        <v>14121162</v>
      </c>
    </row>
    <row r="746" spans="1:42" s="62" customFormat="1" ht="27.75" hidden="1" customHeight="1" thickTop="1" thickBot="1" x14ac:dyDescent="0.3">
      <c r="A746" s="56" t="s">
        <v>22</v>
      </c>
      <c r="B746" s="56" t="s">
        <v>22</v>
      </c>
      <c r="C746" s="57">
        <f t="shared" si="423"/>
        <v>1412116</v>
      </c>
      <c r="D746" s="58">
        <v>3</v>
      </c>
      <c r="E746" s="59" t="str">
        <f t="shared" si="424"/>
        <v>ACHATS DE BIENS DE CONSOMMATION ET PETITS MATERIELS</v>
      </c>
      <c r="F746" s="60" t="e">
        <f>SUMIFS([49]mensuel_section_article1!$E$3:$E$962,[49]mensuel_section_article1!$B$3:$B$962,C746,[49]mensuel_section_article1!$C$3:$C$962,D746)</f>
        <v>#VALUE!</v>
      </c>
      <c r="G746" s="60" t="e">
        <f>SUMIFS([49]mensuel_section_article1!$G$3:$G$962,[49]mensuel_section_article1!$B$3:$B$962,C746,[49]mensuel_section_article1!$C$3:$C$962,D746)</f>
        <v>#VALUE!</v>
      </c>
      <c r="H746" s="60">
        <v>0</v>
      </c>
      <c r="I746" s="60">
        <v>0</v>
      </c>
      <c r="J746" s="60">
        <v>0</v>
      </c>
      <c r="K746" s="60">
        <f t="shared" si="425"/>
        <v>0</v>
      </c>
      <c r="L746" s="61" t="e">
        <f t="shared" si="412"/>
        <v>#VALUE!</v>
      </c>
      <c r="M746" s="60" t="e">
        <f>+SUMIFS([51]section_article!$H$10:$H$936,[51]section_article!$C$10:$C$936,C746,[51]section_article!$D$10:$D$936,D746)</f>
        <v>#VALUE!</v>
      </c>
      <c r="N746" s="24" t="e">
        <f t="shared" ref="N744:N750" si="427">+J746-M746</f>
        <v>#VALUE!</v>
      </c>
      <c r="O746" s="9"/>
      <c r="Q746" s="63"/>
      <c r="AK746" s="64"/>
      <c r="AL746" s="64"/>
      <c r="AM746" s="64"/>
      <c r="AN746" s="64"/>
      <c r="AO746" s="11">
        <v>1412116</v>
      </c>
      <c r="AP746" s="65" t="str">
        <f t="shared" si="426"/>
        <v>14121163</v>
      </c>
    </row>
    <row r="747" spans="1:42" s="62" customFormat="1" ht="27.75" hidden="1" customHeight="1" thickTop="1" thickBot="1" x14ac:dyDescent="0.3">
      <c r="A747" s="56" t="s">
        <v>22</v>
      </c>
      <c r="B747" s="56" t="s">
        <v>22</v>
      </c>
      <c r="C747" s="57">
        <f t="shared" si="423"/>
        <v>1412116</v>
      </c>
      <c r="D747" s="58">
        <v>4</v>
      </c>
      <c r="E747" s="59" t="str">
        <f t="shared" si="424"/>
        <v>IMMOBILISATION CORPORELLE</v>
      </c>
      <c r="F747" s="60" t="e">
        <f>SUMIFS([49]mensuel_section_article1!$E$3:$E$962,[49]mensuel_section_article1!$B$3:$B$962,C747,[49]mensuel_section_article1!$C$3:$C$962,D747)</f>
        <v>#VALUE!</v>
      </c>
      <c r="G747" s="60" t="e">
        <f>SUMIFS([49]mensuel_section_article1!$G$3:$G$962,[49]mensuel_section_article1!$B$3:$B$962,C747,[49]mensuel_section_article1!$C$3:$C$962,D747)</f>
        <v>#VALUE!</v>
      </c>
      <c r="H747" s="60">
        <v>0</v>
      </c>
      <c r="I747" s="60">
        <v>0</v>
      </c>
      <c r="J747" s="60">
        <v>0</v>
      </c>
      <c r="K747" s="60">
        <f t="shared" si="425"/>
        <v>0</v>
      </c>
      <c r="L747" s="61" t="e">
        <f t="shared" si="412"/>
        <v>#VALUE!</v>
      </c>
      <c r="M747" s="60" t="e">
        <f>+SUMIFS([51]section_article!$H$10:$H$936,[51]section_article!$C$10:$C$936,C747,[51]section_article!$D$10:$D$936,D747)</f>
        <v>#VALUE!</v>
      </c>
      <c r="N747" s="24" t="e">
        <f t="shared" si="427"/>
        <v>#VALUE!</v>
      </c>
      <c r="O747" s="64"/>
      <c r="P747" s="64"/>
      <c r="Q747" s="64"/>
      <c r="R747" s="64" t="e">
        <f>SUM(#REF!)</f>
        <v>#REF!</v>
      </c>
      <c r="S747" s="64" t="e">
        <f>SUM(#REF!)</f>
        <v>#REF!</v>
      </c>
      <c r="T747" s="64" t="e">
        <f>SUM(#REF!)</f>
        <v>#REF!</v>
      </c>
      <c r="U747" s="64" t="e">
        <f>SUM(#REF!)</f>
        <v>#REF!</v>
      </c>
      <c r="V747" s="64" t="e">
        <f>SUM(#REF!)</f>
        <v>#REF!</v>
      </c>
      <c r="W747" s="64" t="e">
        <f>SUM(#REF!)</f>
        <v>#REF!</v>
      </c>
      <c r="X747" s="64" t="e">
        <f>SUM(#REF!)</f>
        <v>#REF!</v>
      </c>
      <c r="Y747" s="64" t="e">
        <f>SUM(#REF!)</f>
        <v>#REF!</v>
      </c>
      <c r="Z747" s="64" t="e">
        <f>SUM(#REF!)</f>
        <v>#REF!</v>
      </c>
      <c r="AA747" s="64" t="e">
        <f>SUM(#REF!)</f>
        <v>#REF!</v>
      </c>
      <c r="AB747" s="64" t="e">
        <f>SUM(#REF!)</f>
        <v>#REF!</v>
      </c>
      <c r="AC747" s="64" t="e">
        <f>SUM(#REF!)</f>
        <v>#REF!</v>
      </c>
      <c r="AD747" s="64" t="e">
        <f>SUM(#REF!)</f>
        <v>#REF!</v>
      </c>
      <c r="AE747" s="64" t="e">
        <f>SUM(#REF!)</f>
        <v>#REF!</v>
      </c>
      <c r="AF747" s="64" t="e">
        <f>SUM(#REF!)</f>
        <v>#REF!</v>
      </c>
      <c r="AG747" s="64" t="e">
        <f>SUM(#REF!)</f>
        <v>#REF!</v>
      </c>
      <c r="AH747" s="64" t="e">
        <f>SUM(#REF!)</f>
        <v>#REF!</v>
      </c>
      <c r="AI747" s="64" t="e">
        <f>SUM(#REF!)</f>
        <v>#REF!</v>
      </c>
      <c r="AJ747" s="64" t="e">
        <f>SUM(#REF!)</f>
        <v>#REF!</v>
      </c>
      <c r="AK747" s="64"/>
      <c r="AL747" s="64"/>
      <c r="AM747" s="64"/>
      <c r="AN747" s="64" t="e">
        <f>SUM(#REF!)</f>
        <v>#REF!</v>
      </c>
      <c r="AO747" s="11">
        <v>1412116</v>
      </c>
      <c r="AP747" s="65" t="str">
        <f t="shared" si="426"/>
        <v>14121164</v>
      </c>
    </row>
    <row r="748" spans="1:42" s="62" customFormat="1" ht="27.75" hidden="1" customHeight="1" thickTop="1" thickBot="1" x14ac:dyDescent="0.3">
      <c r="A748" s="56" t="s">
        <v>22</v>
      </c>
      <c r="B748" s="56" t="s">
        <v>22</v>
      </c>
      <c r="C748" s="57">
        <f t="shared" si="423"/>
        <v>1412116</v>
      </c>
      <c r="D748" s="58">
        <v>5</v>
      </c>
      <c r="E748" s="59" t="str">
        <f t="shared" si="424"/>
        <v>IMMOBILISATION INCORPORELLE</v>
      </c>
      <c r="F748" s="60" t="e">
        <f>SUMIFS([49]mensuel_section_article1!$E$3:$E$962,[49]mensuel_section_article1!$B$3:$B$962,C748,[49]mensuel_section_article1!$C$3:$C$962,D748)</f>
        <v>#VALUE!</v>
      </c>
      <c r="G748" s="60" t="e">
        <f>SUMIFS([49]mensuel_section_article1!$G$3:$G$962,[49]mensuel_section_article1!$B$3:$B$962,C748,[49]mensuel_section_article1!$C$3:$C$962,D748)</f>
        <v>#VALUE!</v>
      </c>
      <c r="H748" s="60">
        <v>0</v>
      </c>
      <c r="I748" s="60">
        <v>0</v>
      </c>
      <c r="J748" s="60">
        <v>0</v>
      </c>
      <c r="K748" s="60">
        <f t="shared" si="425"/>
        <v>0</v>
      </c>
      <c r="L748" s="61" t="e">
        <f t="shared" si="412"/>
        <v>#VALUE!</v>
      </c>
      <c r="M748" s="60" t="e">
        <f>+SUMIFS([51]section_article!$H$10:$H$936,[51]section_article!$C$10:$C$936,C748,[51]section_article!$D$10:$D$936,D748)</f>
        <v>#VALUE!</v>
      </c>
      <c r="N748" s="24" t="e">
        <f t="shared" si="427"/>
        <v>#VALUE!</v>
      </c>
      <c r="O748" s="9"/>
      <c r="Q748" s="63"/>
      <c r="AK748" s="64"/>
      <c r="AL748" s="64"/>
      <c r="AM748" s="64"/>
      <c r="AN748" s="64"/>
      <c r="AO748" s="11">
        <v>1412116</v>
      </c>
      <c r="AP748" s="65" t="str">
        <f t="shared" si="426"/>
        <v>14121165</v>
      </c>
    </row>
    <row r="749" spans="1:42" s="62" customFormat="1" ht="27.75" hidden="1" customHeight="1" thickTop="1" thickBot="1" x14ac:dyDescent="0.3">
      <c r="A749" s="56" t="s">
        <v>22</v>
      </c>
      <c r="B749" s="56" t="s">
        <v>22</v>
      </c>
      <c r="C749" s="57">
        <f t="shared" si="423"/>
        <v>1412116</v>
      </c>
      <c r="D749" s="58">
        <v>7</v>
      </c>
      <c r="E749" s="59" t="str">
        <f t="shared" si="424"/>
        <v>SUBVENTIONS,QUOTES-PARTS ET CONTRIB.,ALLOC, INDEMNISATIONS</v>
      </c>
      <c r="F749" s="60" t="e">
        <f>SUMIFS([49]mensuel_section_article1!$E$3:$E$962,[49]mensuel_section_article1!$B$3:$B$962,C749,[49]mensuel_section_article1!$C$3:$C$962,D749)</f>
        <v>#VALUE!</v>
      </c>
      <c r="G749" s="60" t="e">
        <f>SUMIFS([49]mensuel_section_article1!$G$3:$G$962,[49]mensuel_section_article1!$B$3:$B$962,C749,[49]mensuel_section_article1!$C$3:$C$962,D749)</f>
        <v>#VALUE!</v>
      </c>
      <c r="H749" s="60">
        <v>0</v>
      </c>
      <c r="I749" s="60">
        <v>0</v>
      </c>
      <c r="J749" s="60">
        <v>0</v>
      </c>
      <c r="K749" s="60">
        <f t="shared" si="425"/>
        <v>0</v>
      </c>
      <c r="L749" s="61" t="e">
        <f t="shared" si="412"/>
        <v>#VALUE!</v>
      </c>
      <c r="M749" s="60" t="e">
        <f>+SUMIFS([51]section_article!$H$10:$H$936,[51]section_article!$C$10:$C$936,C749,[51]section_article!$D$10:$D$936,D749)</f>
        <v>#VALUE!</v>
      </c>
      <c r="N749" s="24" t="e">
        <f t="shared" si="427"/>
        <v>#VALUE!</v>
      </c>
      <c r="O749" s="9"/>
      <c r="Q749" s="63"/>
      <c r="AK749" s="64"/>
      <c r="AL749" s="64"/>
      <c r="AM749" s="64"/>
      <c r="AN749" s="64"/>
      <c r="AO749" s="11">
        <v>1412116</v>
      </c>
      <c r="AP749" s="65" t="str">
        <f t="shared" si="426"/>
        <v>14121167</v>
      </c>
    </row>
    <row r="750" spans="1:42" s="62" customFormat="1" ht="27.75" hidden="1" customHeight="1" thickTop="1" thickBot="1" x14ac:dyDescent="0.3">
      <c r="A750" s="56" t="s">
        <v>22</v>
      </c>
      <c r="B750" s="56" t="s">
        <v>22</v>
      </c>
      <c r="C750" s="57">
        <f t="shared" si="423"/>
        <v>1412116</v>
      </c>
      <c r="D750" s="58">
        <v>9</v>
      </c>
      <c r="E750" s="59" t="str">
        <f t="shared" si="424"/>
        <v>AUTRES DEPENSES PUBLIQUES</v>
      </c>
      <c r="F750" s="60" t="e">
        <f>SUMIFS([49]mensuel_section_article1!$E$3:$E$962,[49]mensuel_section_article1!$B$3:$B$962,C750,[49]mensuel_section_article1!$C$3:$C$962,D750)</f>
        <v>#VALUE!</v>
      </c>
      <c r="G750" s="60" t="e">
        <f>SUMIFS([49]mensuel_section_article1!$G$3:$G$962,[49]mensuel_section_article1!$B$3:$B$962,C750,[49]mensuel_section_article1!$C$3:$C$962,D750)</f>
        <v>#VALUE!</v>
      </c>
      <c r="H750" s="60">
        <v>0</v>
      </c>
      <c r="I750" s="60">
        <v>0</v>
      </c>
      <c r="J750" s="60">
        <v>0</v>
      </c>
      <c r="K750" s="60">
        <f t="shared" si="425"/>
        <v>0</v>
      </c>
      <c r="L750" s="61" t="e">
        <f t="shared" si="412"/>
        <v>#VALUE!</v>
      </c>
      <c r="M750" s="60" t="e">
        <f>+SUMIFS([51]section_article!$H$10:$H$936,[51]section_article!$C$10:$C$936,C750,[51]section_article!$D$10:$D$936,D750)</f>
        <v>#VALUE!</v>
      </c>
      <c r="N750" s="24" t="e">
        <f t="shared" si="427"/>
        <v>#VALUE!</v>
      </c>
      <c r="O750" s="64"/>
      <c r="P750" s="64"/>
      <c r="Q750" s="64"/>
      <c r="R750" s="64" t="e">
        <f>SUM(#REF!)</f>
        <v>#REF!</v>
      </c>
      <c r="S750" s="64" t="e">
        <f>SUM(#REF!)</f>
        <v>#REF!</v>
      </c>
      <c r="T750" s="64" t="e">
        <f>SUM(#REF!)</f>
        <v>#REF!</v>
      </c>
      <c r="U750" s="64" t="e">
        <f>SUM(#REF!)</f>
        <v>#REF!</v>
      </c>
      <c r="V750" s="64" t="e">
        <f>SUM(#REF!)</f>
        <v>#REF!</v>
      </c>
      <c r="W750" s="64" t="e">
        <f>SUM(#REF!)</f>
        <v>#REF!</v>
      </c>
      <c r="X750" s="64" t="e">
        <f>SUM(#REF!)</f>
        <v>#REF!</v>
      </c>
      <c r="Y750" s="64" t="e">
        <f>SUM(#REF!)</f>
        <v>#REF!</v>
      </c>
      <c r="Z750" s="64" t="e">
        <f>SUM(#REF!)</f>
        <v>#REF!</v>
      </c>
      <c r="AA750" s="64" t="e">
        <f>SUM(#REF!)</f>
        <v>#REF!</v>
      </c>
      <c r="AB750" s="64" t="e">
        <f>SUM(#REF!)</f>
        <v>#REF!</v>
      </c>
      <c r="AC750" s="64" t="e">
        <f>SUM(#REF!)</f>
        <v>#REF!</v>
      </c>
      <c r="AD750" s="64" t="e">
        <f>SUM(#REF!)</f>
        <v>#REF!</v>
      </c>
      <c r="AE750" s="64" t="e">
        <f>SUM(#REF!)</f>
        <v>#REF!</v>
      </c>
      <c r="AF750" s="64" t="e">
        <f>SUM(#REF!)</f>
        <v>#REF!</v>
      </c>
      <c r="AG750" s="64" t="e">
        <f>SUM(#REF!)</f>
        <v>#REF!</v>
      </c>
      <c r="AH750" s="64" t="e">
        <f>SUM(#REF!)</f>
        <v>#REF!</v>
      </c>
      <c r="AI750" s="64" t="e">
        <f>SUM(#REF!)</f>
        <v>#REF!</v>
      </c>
      <c r="AJ750" s="64" t="e">
        <f>SUM(#REF!)</f>
        <v>#REF!</v>
      </c>
      <c r="AK750" s="64"/>
      <c r="AL750" s="64"/>
      <c r="AM750" s="64"/>
      <c r="AN750" s="64" t="e">
        <f>SUM(#REF!)</f>
        <v>#REF!</v>
      </c>
      <c r="AO750" s="11">
        <v>1412116</v>
      </c>
      <c r="AP750" s="65" t="str">
        <f t="shared" si="426"/>
        <v>14121169</v>
      </c>
    </row>
    <row r="751" spans="1:42" s="1" customFormat="1" ht="27.75" customHeight="1" thickTop="1" thickBot="1" x14ac:dyDescent="0.3">
      <c r="A751" s="50" t="s">
        <v>20</v>
      </c>
      <c r="B751" s="50" t="s">
        <v>20</v>
      </c>
      <c r="C751" s="50" t="s">
        <v>20</v>
      </c>
      <c r="D751" s="51">
        <v>1412117</v>
      </c>
      <c r="E751" s="67" t="s">
        <v>117</v>
      </c>
      <c r="F751" s="68" t="e">
        <f>SUMIF($B$752:$B$758,"article",F752:F758)</f>
        <v>#VALUE!</v>
      </c>
      <c r="G751" s="68" t="e">
        <f>SUMIF($B$752:$B$758,"article",G752:G758)</f>
        <v>#VALUE!</v>
      </c>
      <c r="H751" s="68">
        <f>SUMIF($B$752:$B$758,"article",H752:H758)</f>
        <v>31247820.324000001</v>
      </c>
      <c r="I751" s="68">
        <v>31247818.300000001</v>
      </c>
      <c r="J751" s="68">
        <f>SUMIF($B$752:$B$758,"article",J752:J758)</f>
        <v>26333074.920000002</v>
      </c>
      <c r="K751" s="68">
        <f>SUMIF($B$752:$B$758,"article",K752:K758)</f>
        <v>4914745.4039999973</v>
      </c>
      <c r="L751" s="69">
        <f>+J751/H751</f>
        <v>0.84271717665295165</v>
      </c>
      <c r="M751" s="68"/>
      <c r="N751" s="68"/>
      <c r="O751" s="9"/>
      <c r="Q751" s="23"/>
      <c r="AK751" s="70"/>
      <c r="AL751" s="70"/>
      <c r="AM751" s="70"/>
      <c r="AN751" s="70"/>
      <c r="AO751" s="11">
        <v>1412217</v>
      </c>
    </row>
    <row r="752" spans="1:42" s="62" customFormat="1" ht="27.75" customHeight="1" thickTop="1" thickBot="1" x14ac:dyDescent="0.3">
      <c r="A752" s="56" t="s">
        <v>22</v>
      </c>
      <c r="B752" s="56" t="s">
        <v>22</v>
      </c>
      <c r="C752" s="57">
        <f t="shared" ref="C752:C758" si="428">IF(A751="SECTION",D751,C751)</f>
        <v>1412117</v>
      </c>
      <c r="D752" s="58">
        <v>1</v>
      </c>
      <c r="E752" s="59" t="str">
        <f t="shared" ref="E752:E758" si="429">IF(D752=1, "DEPENSES DE PERSONNEL",  +IF(D752=2,"DEPENSES DE SERVICES ET CHARGES DIVERSES", +IF(D752=3,"ACHATS DE BIENS DE CONSOMMATION ET PETITS MATERIELS",+IF(D752=4,"IMMOBILISATION CORPORELLE",+IF(D752=5,"IMMOBILISATION INCORPORELLE",+IF(D752=7,"SUBVENTIONS,QUOTES-PARTS ET CONTRIB.,ALLOC, INDEMNISATIONS",+IF(D752=8,"AMORTISSEMENT DE LA DETTE",+IF(D752=9,"AUTRES DEPENSES PUBLIQUES",0))))))))</f>
        <v>DEPENSES DE PERSONNEL</v>
      </c>
      <c r="F752" s="60" t="e">
        <f>SUMIFS([49]mensuel_section_article1!$E$3:$E$962,[49]mensuel_section_article1!$B$3:$B$962,C752,[49]mensuel_section_article1!$C$3:$C$962,D752)</f>
        <v>#VALUE!</v>
      </c>
      <c r="G752" s="60" t="e">
        <f>SUMIFS([49]mensuel_section_article1!$G$3:$G$962,[49]mensuel_section_article1!$B$3:$B$962,C752,[49]mensuel_section_article1!$C$3:$C$962,D752)</f>
        <v>#VALUE!</v>
      </c>
      <c r="H752" s="60">
        <v>20747820</v>
      </c>
      <c r="I752" s="60">
        <v>20747818</v>
      </c>
      <c r="J752" s="60">
        <v>19053523.740000002</v>
      </c>
      <c r="K752" s="60">
        <f t="shared" ref="K752:K758" si="430">+H752-J752</f>
        <v>1694296.2599999979</v>
      </c>
      <c r="L752" s="61">
        <f>+J752/H752</f>
        <v>0.91833858882523567</v>
      </c>
      <c r="M752" s="60"/>
      <c r="N752" s="24"/>
      <c r="O752" s="9"/>
      <c r="Q752" s="63"/>
      <c r="AK752" s="64"/>
      <c r="AL752" s="64"/>
      <c r="AM752" s="64"/>
      <c r="AN752" s="64"/>
      <c r="AO752" s="11">
        <v>1412117</v>
      </c>
      <c r="AP752" s="65" t="str">
        <f t="shared" ref="AP752:AP758" si="431">CONCATENATE(AO752,D752)</f>
        <v>14121171</v>
      </c>
    </row>
    <row r="753" spans="1:42" s="62" customFormat="1" ht="27.75" customHeight="1" thickTop="1" thickBot="1" x14ac:dyDescent="0.3">
      <c r="A753" s="56" t="s">
        <v>22</v>
      </c>
      <c r="B753" s="56" t="s">
        <v>22</v>
      </c>
      <c r="C753" s="57">
        <f t="shared" si="428"/>
        <v>1412117</v>
      </c>
      <c r="D753" s="58">
        <v>2</v>
      </c>
      <c r="E753" s="59" t="str">
        <f t="shared" si="429"/>
        <v>DEPENSES DE SERVICES ET CHARGES DIVERSES</v>
      </c>
      <c r="F753" s="60" t="e">
        <f>SUMIFS([49]mensuel_section_article1!$E$3:$E$962,[49]mensuel_section_article1!$B$3:$B$962,C753,[49]mensuel_section_article1!$C$3:$C$962,D753)</f>
        <v>#VALUE!</v>
      </c>
      <c r="G753" s="60" t="e">
        <f>SUMIFS([49]mensuel_section_article1!$G$3:$G$962,[49]mensuel_section_article1!$B$3:$B$962,C753,[49]mensuel_section_article1!$C$3:$C$962,D753)</f>
        <v>#VALUE!</v>
      </c>
      <c r="H753" s="60">
        <v>10500000.323999999</v>
      </c>
      <c r="I753" s="60">
        <v>10500000.300000001</v>
      </c>
      <c r="J753" s="60">
        <v>7279551.1799999997</v>
      </c>
      <c r="K753" s="60">
        <f t="shared" si="430"/>
        <v>3220449.1439999994</v>
      </c>
      <c r="L753" s="61">
        <f>+J753/H753</f>
        <v>0.69329056717846249</v>
      </c>
      <c r="M753" s="60"/>
      <c r="N753" s="24"/>
      <c r="O753" s="9"/>
      <c r="Q753" s="66"/>
      <c r="AK753" s="64"/>
      <c r="AL753" s="64"/>
      <c r="AM753" s="64"/>
      <c r="AN753" s="64"/>
      <c r="AO753" s="11">
        <v>1412117</v>
      </c>
      <c r="AP753" s="65" t="str">
        <f t="shared" si="431"/>
        <v>14121172</v>
      </c>
    </row>
    <row r="754" spans="1:42" s="62" customFormat="1" ht="27.75" hidden="1" customHeight="1" thickTop="1" thickBot="1" x14ac:dyDescent="0.3">
      <c r="A754" s="56" t="s">
        <v>22</v>
      </c>
      <c r="B754" s="56" t="s">
        <v>22</v>
      </c>
      <c r="C754" s="57">
        <f t="shared" si="428"/>
        <v>1412117</v>
      </c>
      <c r="D754" s="58">
        <v>3</v>
      </c>
      <c r="E754" s="59" t="str">
        <f t="shared" si="429"/>
        <v>ACHATS DE BIENS DE CONSOMMATION ET PETITS MATERIELS</v>
      </c>
      <c r="F754" s="60" t="e">
        <f>SUMIFS([49]mensuel_section_article1!$E$3:$E$962,[49]mensuel_section_article1!$B$3:$B$962,C754,[49]mensuel_section_article1!$C$3:$C$962,D754)</f>
        <v>#VALUE!</v>
      </c>
      <c r="G754" s="60" t="e">
        <f>SUMIFS([49]mensuel_section_article1!$G$3:$G$962,[49]mensuel_section_article1!$B$3:$B$962,C754,[49]mensuel_section_article1!$C$3:$C$962,D754)</f>
        <v>#VALUE!</v>
      </c>
      <c r="H754" s="60">
        <v>0</v>
      </c>
      <c r="I754" s="60">
        <v>0</v>
      </c>
      <c r="J754" s="60">
        <v>0</v>
      </c>
      <c r="K754" s="60">
        <f t="shared" si="430"/>
        <v>0</v>
      </c>
      <c r="L754" s="61" t="e">
        <f t="shared" si="412"/>
        <v>#VALUE!</v>
      </c>
      <c r="M754" s="60" t="e">
        <f>+SUMIFS([51]section_article!$H$10:$H$936,[51]section_article!$C$10:$C$936,C754,[51]section_article!$D$10:$D$936,D754)</f>
        <v>#VALUE!</v>
      </c>
      <c r="N754" s="24" t="e">
        <f t="shared" ref="N752:N758" si="432">+J754-M754</f>
        <v>#VALUE!</v>
      </c>
      <c r="O754" s="9"/>
      <c r="Q754" s="63"/>
      <c r="AK754" s="64"/>
      <c r="AL754" s="64"/>
      <c r="AM754" s="64"/>
      <c r="AN754" s="64"/>
      <c r="AO754" s="11">
        <v>1412117</v>
      </c>
      <c r="AP754" s="65" t="str">
        <f t="shared" si="431"/>
        <v>14121173</v>
      </c>
    </row>
    <row r="755" spans="1:42" s="62" customFormat="1" ht="27.75" hidden="1" customHeight="1" thickTop="1" thickBot="1" x14ac:dyDescent="0.3">
      <c r="A755" s="56" t="s">
        <v>22</v>
      </c>
      <c r="B755" s="56" t="s">
        <v>22</v>
      </c>
      <c r="C755" s="57">
        <f t="shared" si="428"/>
        <v>1412117</v>
      </c>
      <c r="D755" s="58">
        <v>4</v>
      </c>
      <c r="E755" s="59" t="str">
        <f t="shared" si="429"/>
        <v>IMMOBILISATION CORPORELLE</v>
      </c>
      <c r="F755" s="60" t="e">
        <f>SUMIFS([49]mensuel_section_article1!$E$3:$E$962,[49]mensuel_section_article1!$B$3:$B$962,C755,[49]mensuel_section_article1!$C$3:$C$962,D755)</f>
        <v>#VALUE!</v>
      </c>
      <c r="G755" s="60" t="e">
        <f>SUMIFS([49]mensuel_section_article1!$G$3:$G$962,[49]mensuel_section_article1!$B$3:$B$962,C755,[49]mensuel_section_article1!$C$3:$C$962,D755)</f>
        <v>#VALUE!</v>
      </c>
      <c r="H755" s="60">
        <v>0</v>
      </c>
      <c r="I755" s="60">
        <v>0</v>
      </c>
      <c r="J755" s="60">
        <v>0</v>
      </c>
      <c r="K755" s="60">
        <f t="shared" si="430"/>
        <v>0</v>
      </c>
      <c r="L755" s="61" t="e">
        <f t="shared" si="412"/>
        <v>#VALUE!</v>
      </c>
      <c r="M755" s="60" t="e">
        <f>+SUMIFS([51]section_article!$H$10:$H$936,[51]section_article!$C$10:$C$936,C755,[51]section_article!$D$10:$D$936,D755)</f>
        <v>#VALUE!</v>
      </c>
      <c r="N755" s="24" t="e">
        <f t="shared" si="432"/>
        <v>#VALUE!</v>
      </c>
      <c r="O755" s="9"/>
      <c r="Q755" s="63"/>
      <c r="AK755" s="64"/>
      <c r="AL755" s="64"/>
      <c r="AM755" s="64"/>
      <c r="AN755" s="64"/>
      <c r="AO755" s="11">
        <v>1412117</v>
      </c>
      <c r="AP755" s="65" t="str">
        <f t="shared" si="431"/>
        <v>14121174</v>
      </c>
    </row>
    <row r="756" spans="1:42" s="62" customFormat="1" ht="27.75" hidden="1" customHeight="1" thickTop="1" thickBot="1" x14ac:dyDescent="0.3">
      <c r="A756" s="56" t="s">
        <v>22</v>
      </c>
      <c r="B756" s="56" t="s">
        <v>22</v>
      </c>
      <c r="C756" s="57">
        <f t="shared" si="428"/>
        <v>1412117</v>
      </c>
      <c r="D756" s="58">
        <v>5</v>
      </c>
      <c r="E756" s="59" t="str">
        <f t="shared" si="429"/>
        <v>IMMOBILISATION INCORPORELLE</v>
      </c>
      <c r="F756" s="60" t="e">
        <f>SUMIFS([49]mensuel_section_article1!$E$3:$E$962,[49]mensuel_section_article1!$B$3:$B$962,C756,[49]mensuel_section_article1!$C$3:$C$962,D756)</f>
        <v>#VALUE!</v>
      </c>
      <c r="G756" s="60" t="e">
        <f>SUMIFS([49]mensuel_section_article1!$G$3:$G$962,[49]mensuel_section_article1!$B$3:$B$962,C756,[49]mensuel_section_article1!$C$3:$C$962,D756)</f>
        <v>#VALUE!</v>
      </c>
      <c r="H756" s="60">
        <v>0</v>
      </c>
      <c r="I756" s="60">
        <v>0</v>
      </c>
      <c r="J756" s="60">
        <v>0</v>
      </c>
      <c r="K756" s="60">
        <f t="shared" si="430"/>
        <v>0</v>
      </c>
      <c r="L756" s="61" t="e">
        <f t="shared" si="412"/>
        <v>#VALUE!</v>
      </c>
      <c r="M756" s="60" t="e">
        <f>+SUMIFS([51]section_article!$H$10:$H$936,[51]section_article!$C$10:$C$936,C756,[51]section_article!$D$10:$D$936,D756)</f>
        <v>#VALUE!</v>
      </c>
      <c r="N756" s="24" t="e">
        <f t="shared" si="432"/>
        <v>#VALUE!</v>
      </c>
      <c r="O756" s="9"/>
      <c r="Q756" s="63"/>
      <c r="AK756" s="64"/>
      <c r="AL756" s="64"/>
      <c r="AM756" s="64"/>
      <c r="AN756" s="64"/>
      <c r="AO756" s="11">
        <v>1412117</v>
      </c>
      <c r="AP756" s="65" t="str">
        <f t="shared" si="431"/>
        <v>14121175</v>
      </c>
    </row>
    <row r="757" spans="1:42" s="62" customFormat="1" ht="27.75" hidden="1" customHeight="1" thickTop="1" thickBot="1" x14ac:dyDescent="0.3">
      <c r="A757" s="56" t="s">
        <v>22</v>
      </c>
      <c r="B757" s="56" t="s">
        <v>22</v>
      </c>
      <c r="C757" s="57">
        <f t="shared" si="428"/>
        <v>1412117</v>
      </c>
      <c r="D757" s="58">
        <v>7</v>
      </c>
      <c r="E757" s="59" t="str">
        <f t="shared" si="429"/>
        <v>SUBVENTIONS,QUOTES-PARTS ET CONTRIB.,ALLOC, INDEMNISATIONS</v>
      </c>
      <c r="F757" s="60" t="e">
        <f>SUMIFS([49]mensuel_section_article1!$E$3:$E$962,[49]mensuel_section_article1!$B$3:$B$962,C757,[49]mensuel_section_article1!$C$3:$C$962,D757)</f>
        <v>#VALUE!</v>
      </c>
      <c r="G757" s="60" t="e">
        <f>SUMIFS([49]mensuel_section_article1!$G$3:$G$962,[49]mensuel_section_article1!$B$3:$B$962,C757,[49]mensuel_section_article1!$C$3:$C$962,D757)</f>
        <v>#VALUE!</v>
      </c>
      <c r="H757" s="60">
        <v>0</v>
      </c>
      <c r="I757" s="60">
        <v>0</v>
      </c>
      <c r="J757" s="60">
        <v>0</v>
      </c>
      <c r="K757" s="60">
        <f t="shared" si="430"/>
        <v>0</v>
      </c>
      <c r="L757" s="61" t="e">
        <f t="shared" si="412"/>
        <v>#VALUE!</v>
      </c>
      <c r="M757" s="60" t="e">
        <f>+SUMIFS([51]section_article!$H$10:$H$936,[51]section_article!$C$10:$C$936,C757,[51]section_article!$D$10:$D$936,D757)</f>
        <v>#VALUE!</v>
      </c>
      <c r="N757" s="24" t="e">
        <f t="shared" si="432"/>
        <v>#VALUE!</v>
      </c>
      <c r="O757" s="9"/>
      <c r="Q757" s="63"/>
      <c r="AK757" s="64"/>
      <c r="AL757" s="64"/>
      <c r="AM757" s="64"/>
      <c r="AN757" s="64"/>
      <c r="AO757" s="11">
        <v>1412117</v>
      </c>
      <c r="AP757" s="65" t="str">
        <f t="shared" si="431"/>
        <v>14121177</v>
      </c>
    </row>
    <row r="758" spans="1:42" s="62" customFormat="1" ht="27.75" hidden="1" customHeight="1" thickTop="1" thickBot="1" x14ac:dyDescent="0.3">
      <c r="A758" s="56" t="s">
        <v>22</v>
      </c>
      <c r="B758" s="56" t="s">
        <v>22</v>
      </c>
      <c r="C758" s="57">
        <f t="shared" si="428"/>
        <v>1412117</v>
      </c>
      <c r="D758" s="58">
        <v>9</v>
      </c>
      <c r="E758" s="59" t="str">
        <f t="shared" si="429"/>
        <v>AUTRES DEPENSES PUBLIQUES</v>
      </c>
      <c r="F758" s="60" t="e">
        <f>SUMIFS([49]mensuel_section_article1!$E$3:$E$962,[49]mensuel_section_article1!$B$3:$B$962,C758,[49]mensuel_section_article1!$C$3:$C$962,D758)</f>
        <v>#VALUE!</v>
      </c>
      <c r="G758" s="60" t="e">
        <f>SUMIFS([49]mensuel_section_article1!$G$3:$G$962,[49]mensuel_section_article1!$B$3:$B$962,C758,[49]mensuel_section_article1!$C$3:$C$962,D758)</f>
        <v>#VALUE!</v>
      </c>
      <c r="H758" s="60">
        <v>0</v>
      </c>
      <c r="I758" s="60">
        <v>0</v>
      </c>
      <c r="J758" s="60">
        <v>0</v>
      </c>
      <c r="K758" s="60">
        <f t="shared" si="430"/>
        <v>0</v>
      </c>
      <c r="L758" s="61" t="e">
        <f t="shared" si="412"/>
        <v>#VALUE!</v>
      </c>
      <c r="M758" s="60" t="e">
        <f>+SUMIFS([51]section_article!$H$10:$H$936,[51]section_article!$C$10:$C$936,C758,[51]section_article!$D$10:$D$936,D758)</f>
        <v>#VALUE!</v>
      </c>
      <c r="N758" s="24" t="e">
        <f t="shared" si="432"/>
        <v>#VALUE!</v>
      </c>
      <c r="O758" s="9"/>
      <c r="Q758" s="63"/>
      <c r="AK758" s="64"/>
      <c r="AL758" s="64"/>
      <c r="AM758" s="64"/>
      <c r="AN758" s="64"/>
      <c r="AO758" s="11">
        <v>1412117</v>
      </c>
      <c r="AP758" s="65" t="str">
        <f t="shared" si="431"/>
        <v>14121179</v>
      </c>
    </row>
    <row r="759" spans="1:42" s="1" customFormat="1" ht="27.75" customHeight="1" thickTop="1" thickBot="1" x14ac:dyDescent="0.3">
      <c r="A759" s="50" t="s">
        <v>20</v>
      </c>
      <c r="B759" s="50" t="s">
        <v>20</v>
      </c>
      <c r="C759" s="50" t="s">
        <v>20</v>
      </c>
      <c r="D759" s="51">
        <v>1412118</v>
      </c>
      <c r="E759" s="67" t="s">
        <v>118</v>
      </c>
      <c r="F759" s="68" t="e">
        <f>SUMIF($B$760:$B$766,"article",F760:F766)</f>
        <v>#VALUE!</v>
      </c>
      <c r="G759" s="68" t="e">
        <f>SUMIF($B$760:$B$766,"article",G760:G766)</f>
        <v>#VALUE!</v>
      </c>
      <c r="H759" s="68">
        <f>SUMIF($B$760:$B$766,"article",H760:H766)</f>
        <v>62374420.539999999</v>
      </c>
      <c r="I759" s="68">
        <v>62374420.500000007</v>
      </c>
      <c r="J759" s="68">
        <f>SUMIF($B$760:$B$766,"article",J760:J766)</f>
        <v>60148071.010000005</v>
      </c>
      <c r="K759" s="68">
        <f>SUMIF($B$760:$B$766,"article",K760:K766)</f>
        <v>2226349.5299999937</v>
      </c>
      <c r="L759" s="69">
        <f>+J759/H759</f>
        <v>0.96430668997442215</v>
      </c>
      <c r="M759" s="68"/>
      <c r="N759" s="68"/>
      <c r="O759" s="9"/>
      <c r="Q759" s="23"/>
      <c r="AK759" s="70"/>
      <c r="AL759" s="70"/>
      <c r="AM759" s="70"/>
      <c r="AN759" s="70"/>
      <c r="AO759" s="11">
        <v>1412118</v>
      </c>
    </row>
    <row r="760" spans="1:42" s="62" customFormat="1" ht="27.75" customHeight="1" thickTop="1" thickBot="1" x14ac:dyDescent="0.3">
      <c r="A760" s="56" t="s">
        <v>22</v>
      </c>
      <c r="B760" s="56" t="s">
        <v>22</v>
      </c>
      <c r="C760" s="57">
        <f t="shared" ref="C760:C766" si="433">IF(A759="SECTION",D759,C759)</f>
        <v>1412118</v>
      </c>
      <c r="D760" s="58">
        <v>1</v>
      </c>
      <c r="E760" s="59" t="str">
        <f t="shared" ref="E760:E766" si="434">IF(D760=1, "DEPENSES DE PERSONNEL",  +IF(D760=2,"DEPENSES DE SERVICES ET CHARGES DIVERSES", +IF(D760=3,"ACHATS DE BIENS DE CONSOMMATION ET PETITS MATERIELS",+IF(D760=4,"IMMOBILISATION CORPORELLE",+IF(D760=5,"IMMOBILISATION INCORPORELLE",+IF(D760=7,"SUBVENTIONS,QUOTES-PARTS ET CONTRIB.,ALLOC, INDEMNISATIONS",+IF(D760=8,"AMORTISSEMENT DE LA DETTE",+IF(D760=9,"AUTRES DEPENSES PUBLIQUES",0))))))))</f>
        <v>DEPENSES DE PERSONNEL</v>
      </c>
      <c r="F760" s="60" t="e">
        <f>SUMIFS([49]mensuel_section_article1!$E$3:$E$962,[49]mensuel_section_article1!$B$3:$B$962,C760,[49]mensuel_section_article1!$C$3:$C$962,D760)</f>
        <v>#VALUE!</v>
      </c>
      <c r="G760" s="60" t="e">
        <f>SUMIFS([49]mensuel_section_article1!$G$3:$G$962,[49]mensuel_section_article1!$B$3:$B$962,C760,[49]mensuel_section_article1!$C$3:$C$962,D760)</f>
        <v>#VALUE!</v>
      </c>
      <c r="H760" s="60">
        <v>41543052</v>
      </c>
      <c r="I760" s="60">
        <v>41543052.000000007</v>
      </c>
      <c r="J760" s="60">
        <v>40714559.170000002</v>
      </c>
      <c r="K760" s="60">
        <f t="shared" ref="K760:K766" si="435">+H760-J760</f>
        <v>828492.82999999821</v>
      </c>
      <c r="L760" s="61">
        <f>+J760/H760</f>
        <v>0.98005700616314861</v>
      </c>
      <c r="M760" s="60"/>
      <c r="N760" s="24"/>
      <c r="O760" s="9"/>
      <c r="Q760" s="63"/>
      <c r="AK760" s="64"/>
      <c r="AL760" s="64"/>
      <c r="AM760" s="64"/>
      <c r="AN760" s="64"/>
      <c r="AO760" s="11">
        <v>1412118</v>
      </c>
      <c r="AP760" s="65" t="str">
        <f t="shared" ref="AP760:AP766" si="436">CONCATENATE(AO760,D760)</f>
        <v>14121181</v>
      </c>
    </row>
    <row r="761" spans="1:42" s="62" customFormat="1" ht="27.75" customHeight="1" thickTop="1" thickBot="1" x14ac:dyDescent="0.3">
      <c r="A761" s="56" t="s">
        <v>22</v>
      </c>
      <c r="B761" s="56" t="s">
        <v>22</v>
      </c>
      <c r="C761" s="57">
        <f t="shared" si="433"/>
        <v>1412118</v>
      </c>
      <c r="D761" s="58">
        <v>2</v>
      </c>
      <c r="E761" s="59" t="str">
        <f t="shared" si="434"/>
        <v>DEPENSES DE SERVICES ET CHARGES DIVERSES</v>
      </c>
      <c r="F761" s="60" t="e">
        <f>SUMIFS([49]mensuel_section_article1!$E$3:$E$962,[49]mensuel_section_article1!$B$3:$B$962,C761,[49]mensuel_section_article1!$C$3:$C$962,D761)</f>
        <v>#VALUE!</v>
      </c>
      <c r="G761" s="60" t="e">
        <f>SUMIFS([49]mensuel_section_article1!$G$3:$G$962,[49]mensuel_section_article1!$B$3:$B$962,C761,[49]mensuel_section_article1!$C$3:$C$962,D761)</f>
        <v>#VALUE!</v>
      </c>
      <c r="H761" s="60">
        <v>20831368.539999999</v>
      </c>
      <c r="I761" s="60">
        <v>20831368.5</v>
      </c>
      <c r="J761" s="60">
        <v>19433511.840000004</v>
      </c>
      <c r="K761" s="60">
        <f t="shared" si="435"/>
        <v>1397856.6999999955</v>
      </c>
      <c r="L761" s="61">
        <f>+J761/H761</f>
        <v>0.93289654986824999</v>
      </c>
      <c r="M761" s="60"/>
      <c r="N761" s="24"/>
      <c r="O761" s="9"/>
      <c r="Q761" s="66"/>
      <c r="AK761" s="64"/>
      <c r="AL761" s="64"/>
      <c r="AM761" s="64"/>
      <c r="AN761" s="64"/>
      <c r="AO761" s="11">
        <v>1412118</v>
      </c>
      <c r="AP761" s="65" t="str">
        <f t="shared" si="436"/>
        <v>14121182</v>
      </c>
    </row>
    <row r="762" spans="1:42" s="62" customFormat="1" ht="27.75" hidden="1" customHeight="1" thickTop="1" thickBot="1" x14ac:dyDescent="0.3">
      <c r="A762" s="56" t="s">
        <v>22</v>
      </c>
      <c r="B762" s="56" t="s">
        <v>22</v>
      </c>
      <c r="C762" s="57">
        <f t="shared" si="433"/>
        <v>1412118</v>
      </c>
      <c r="D762" s="58">
        <v>3</v>
      </c>
      <c r="E762" s="59" t="str">
        <f t="shared" si="434"/>
        <v>ACHATS DE BIENS DE CONSOMMATION ET PETITS MATERIELS</v>
      </c>
      <c r="F762" s="60" t="e">
        <f>SUMIFS([49]mensuel_section_article1!$E$3:$E$962,[49]mensuel_section_article1!$B$3:$B$962,C762,[49]mensuel_section_article1!$C$3:$C$962,D762)</f>
        <v>#VALUE!</v>
      </c>
      <c r="G762" s="60" t="e">
        <f>SUMIFS([49]mensuel_section_article1!$G$3:$G$962,[49]mensuel_section_article1!$B$3:$B$962,C762,[49]mensuel_section_article1!$C$3:$C$962,D762)</f>
        <v>#VALUE!</v>
      </c>
      <c r="H762" s="60">
        <v>0</v>
      </c>
      <c r="I762" s="60">
        <v>0</v>
      </c>
      <c r="J762" s="60">
        <v>0</v>
      </c>
      <c r="K762" s="60">
        <f t="shared" si="435"/>
        <v>0</v>
      </c>
      <c r="L762" s="61" t="e">
        <f t="shared" si="412"/>
        <v>#VALUE!</v>
      </c>
      <c r="M762" s="60" t="e">
        <f>+SUMIFS([51]section_article!$H$10:$H$936,[51]section_article!$C$10:$C$936,C762,[51]section_article!$D$10:$D$936,D762)</f>
        <v>#VALUE!</v>
      </c>
      <c r="N762" s="24" t="e">
        <f t="shared" ref="N760:N766" si="437">+J762-M762</f>
        <v>#VALUE!</v>
      </c>
      <c r="O762" s="9"/>
      <c r="Q762" s="63"/>
      <c r="AK762" s="64"/>
      <c r="AL762" s="64"/>
      <c r="AM762" s="64"/>
      <c r="AN762" s="64"/>
      <c r="AO762" s="11">
        <v>1412118</v>
      </c>
      <c r="AP762" s="65" t="str">
        <f t="shared" si="436"/>
        <v>14121183</v>
      </c>
    </row>
    <row r="763" spans="1:42" s="62" customFormat="1" ht="27.75" hidden="1" customHeight="1" thickTop="1" thickBot="1" x14ac:dyDescent="0.3">
      <c r="A763" s="56" t="s">
        <v>22</v>
      </c>
      <c r="B763" s="56" t="s">
        <v>22</v>
      </c>
      <c r="C763" s="57">
        <f t="shared" si="433"/>
        <v>1412118</v>
      </c>
      <c r="D763" s="58">
        <v>4</v>
      </c>
      <c r="E763" s="59" t="str">
        <f t="shared" si="434"/>
        <v>IMMOBILISATION CORPORELLE</v>
      </c>
      <c r="F763" s="60" t="e">
        <f>SUMIFS([49]mensuel_section_article1!$E$3:$E$962,[49]mensuel_section_article1!$B$3:$B$962,C763,[49]mensuel_section_article1!$C$3:$C$962,D763)</f>
        <v>#VALUE!</v>
      </c>
      <c r="G763" s="60" t="e">
        <f>SUMIFS([49]mensuel_section_article1!$G$3:$G$962,[49]mensuel_section_article1!$B$3:$B$962,C763,[49]mensuel_section_article1!$C$3:$C$962,D763)</f>
        <v>#VALUE!</v>
      </c>
      <c r="H763" s="60">
        <v>0</v>
      </c>
      <c r="I763" s="60">
        <v>0</v>
      </c>
      <c r="J763" s="60">
        <v>0</v>
      </c>
      <c r="K763" s="60">
        <f t="shared" si="435"/>
        <v>0</v>
      </c>
      <c r="L763" s="61" t="e">
        <f t="shared" si="412"/>
        <v>#VALUE!</v>
      </c>
      <c r="M763" s="60" t="e">
        <f>+SUMIFS([51]section_article!$H$10:$H$936,[51]section_article!$C$10:$C$936,C763,[51]section_article!$D$10:$D$936,D763)</f>
        <v>#VALUE!</v>
      </c>
      <c r="N763" s="24" t="e">
        <f t="shared" si="437"/>
        <v>#VALUE!</v>
      </c>
      <c r="O763" s="9"/>
      <c r="Q763" s="63"/>
      <c r="AK763" s="64"/>
      <c r="AL763" s="64"/>
      <c r="AM763" s="64"/>
      <c r="AN763" s="64"/>
      <c r="AO763" s="11">
        <v>1412118</v>
      </c>
      <c r="AP763" s="65" t="str">
        <f t="shared" si="436"/>
        <v>14121184</v>
      </c>
    </row>
    <row r="764" spans="1:42" s="62" customFormat="1" ht="27.75" hidden="1" customHeight="1" thickTop="1" thickBot="1" x14ac:dyDescent="0.3">
      <c r="A764" s="56" t="s">
        <v>22</v>
      </c>
      <c r="B764" s="56" t="s">
        <v>22</v>
      </c>
      <c r="C764" s="57">
        <f t="shared" si="433"/>
        <v>1412118</v>
      </c>
      <c r="D764" s="58">
        <v>5</v>
      </c>
      <c r="E764" s="59" t="str">
        <f t="shared" si="434"/>
        <v>IMMOBILISATION INCORPORELLE</v>
      </c>
      <c r="F764" s="60" t="e">
        <f>SUMIFS([49]mensuel_section_article1!$E$3:$E$962,[49]mensuel_section_article1!$B$3:$B$962,C764,[49]mensuel_section_article1!$C$3:$C$962,D764)</f>
        <v>#VALUE!</v>
      </c>
      <c r="G764" s="60" t="e">
        <f>SUMIFS([49]mensuel_section_article1!$G$3:$G$962,[49]mensuel_section_article1!$B$3:$B$962,C764,[49]mensuel_section_article1!$C$3:$C$962,D764)</f>
        <v>#VALUE!</v>
      </c>
      <c r="H764" s="60">
        <v>0</v>
      </c>
      <c r="I764" s="60">
        <v>0</v>
      </c>
      <c r="J764" s="60">
        <v>0</v>
      </c>
      <c r="K764" s="60">
        <f t="shared" si="435"/>
        <v>0</v>
      </c>
      <c r="L764" s="61" t="e">
        <f t="shared" si="412"/>
        <v>#VALUE!</v>
      </c>
      <c r="M764" s="60" t="e">
        <f>+SUMIFS([51]section_article!$H$10:$H$936,[51]section_article!$C$10:$C$936,C764,[51]section_article!$D$10:$D$936,D764)</f>
        <v>#VALUE!</v>
      </c>
      <c r="N764" s="24" t="e">
        <f t="shared" si="437"/>
        <v>#VALUE!</v>
      </c>
      <c r="O764" s="9"/>
      <c r="Q764" s="63"/>
      <c r="AK764" s="64"/>
      <c r="AL764" s="64"/>
      <c r="AM764" s="64"/>
      <c r="AN764" s="64"/>
      <c r="AO764" s="11">
        <v>1412118</v>
      </c>
      <c r="AP764" s="65" t="str">
        <f t="shared" si="436"/>
        <v>14121185</v>
      </c>
    </row>
    <row r="765" spans="1:42" s="62" customFormat="1" ht="27.75" hidden="1" customHeight="1" thickTop="1" thickBot="1" x14ac:dyDescent="0.3">
      <c r="A765" s="56" t="s">
        <v>22</v>
      </c>
      <c r="B765" s="56" t="s">
        <v>22</v>
      </c>
      <c r="C765" s="57">
        <f t="shared" si="433"/>
        <v>1412118</v>
      </c>
      <c r="D765" s="58">
        <v>7</v>
      </c>
      <c r="E765" s="59" t="str">
        <f t="shared" si="434"/>
        <v>SUBVENTIONS,QUOTES-PARTS ET CONTRIB.,ALLOC, INDEMNISATIONS</v>
      </c>
      <c r="F765" s="60" t="e">
        <f>SUMIFS([49]mensuel_section_article1!$E$3:$E$962,[49]mensuel_section_article1!$B$3:$B$962,C765,[49]mensuel_section_article1!$C$3:$C$962,D765)</f>
        <v>#VALUE!</v>
      </c>
      <c r="G765" s="60" t="e">
        <f>SUMIFS([49]mensuel_section_article1!$G$3:$G$962,[49]mensuel_section_article1!$B$3:$B$962,C765,[49]mensuel_section_article1!$C$3:$C$962,D765)</f>
        <v>#VALUE!</v>
      </c>
      <c r="H765" s="60">
        <v>0</v>
      </c>
      <c r="I765" s="60">
        <v>0</v>
      </c>
      <c r="J765" s="60">
        <v>0</v>
      </c>
      <c r="K765" s="60">
        <f t="shared" si="435"/>
        <v>0</v>
      </c>
      <c r="L765" s="61" t="e">
        <f t="shared" si="412"/>
        <v>#VALUE!</v>
      </c>
      <c r="M765" s="60" t="e">
        <f>+SUMIFS([51]section_article!$H$10:$H$936,[51]section_article!$C$10:$C$936,C765,[51]section_article!$D$10:$D$936,D765)</f>
        <v>#VALUE!</v>
      </c>
      <c r="N765" s="24" t="e">
        <f t="shared" si="437"/>
        <v>#VALUE!</v>
      </c>
      <c r="O765" s="9"/>
      <c r="Q765" s="63"/>
      <c r="AK765" s="64"/>
      <c r="AL765" s="64"/>
      <c r="AM765" s="64"/>
      <c r="AN765" s="64"/>
      <c r="AO765" s="11">
        <v>1412118</v>
      </c>
      <c r="AP765" s="65" t="str">
        <f t="shared" si="436"/>
        <v>14121187</v>
      </c>
    </row>
    <row r="766" spans="1:42" s="62" customFormat="1" ht="27.75" hidden="1" customHeight="1" thickTop="1" thickBot="1" x14ac:dyDescent="0.3">
      <c r="A766" s="56" t="s">
        <v>22</v>
      </c>
      <c r="B766" s="56" t="s">
        <v>22</v>
      </c>
      <c r="C766" s="57">
        <f t="shared" si="433"/>
        <v>1412118</v>
      </c>
      <c r="D766" s="58">
        <v>9</v>
      </c>
      <c r="E766" s="59" t="str">
        <f t="shared" si="434"/>
        <v>AUTRES DEPENSES PUBLIQUES</v>
      </c>
      <c r="F766" s="60" t="e">
        <f>SUMIFS([49]mensuel_section_article1!$E$3:$E$962,[49]mensuel_section_article1!$B$3:$B$962,C766,[49]mensuel_section_article1!$C$3:$C$962,D766)</f>
        <v>#VALUE!</v>
      </c>
      <c r="G766" s="60" t="e">
        <f>SUMIFS([49]mensuel_section_article1!$G$3:$G$962,[49]mensuel_section_article1!$B$3:$B$962,C766,[49]mensuel_section_article1!$C$3:$C$962,D766)</f>
        <v>#VALUE!</v>
      </c>
      <c r="H766" s="60">
        <v>0</v>
      </c>
      <c r="I766" s="60">
        <v>0</v>
      </c>
      <c r="J766" s="60">
        <v>0</v>
      </c>
      <c r="K766" s="60">
        <f t="shared" si="435"/>
        <v>0</v>
      </c>
      <c r="L766" s="61" t="e">
        <f t="shared" si="412"/>
        <v>#VALUE!</v>
      </c>
      <c r="M766" s="60" t="e">
        <f>+SUMIFS([51]section_article!$H$10:$H$936,[51]section_article!$C$10:$C$936,C766,[51]section_article!$D$10:$D$936,D766)</f>
        <v>#VALUE!</v>
      </c>
      <c r="N766" s="24" t="e">
        <f t="shared" si="437"/>
        <v>#VALUE!</v>
      </c>
      <c r="O766" s="9"/>
      <c r="Q766" s="63"/>
      <c r="AK766" s="64"/>
      <c r="AL766" s="64"/>
      <c r="AM766" s="64"/>
      <c r="AN766" s="64"/>
      <c r="AO766" s="11">
        <v>1412118</v>
      </c>
      <c r="AP766" s="65" t="str">
        <f t="shared" si="436"/>
        <v>14121189</v>
      </c>
    </row>
    <row r="767" spans="1:42" s="1" customFormat="1" ht="27.75" customHeight="1" thickTop="1" thickBot="1" x14ac:dyDescent="0.3">
      <c r="A767" s="50" t="s">
        <v>20</v>
      </c>
      <c r="B767" s="50" t="s">
        <v>20</v>
      </c>
      <c r="C767" s="50" t="s">
        <v>20</v>
      </c>
      <c r="D767" s="51">
        <v>1412119</v>
      </c>
      <c r="E767" s="67" t="s">
        <v>119</v>
      </c>
      <c r="F767" s="68" t="e">
        <f>SUMIF($B$768:$B$774,"article",F768:F774)</f>
        <v>#VALUE!</v>
      </c>
      <c r="G767" s="68" t="e">
        <f>SUMIF($B$768:$B$774,"article",G768:G774)</f>
        <v>#VALUE!</v>
      </c>
      <c r="H767" s="68">
        <f>SUMIF($B$768:$B$774,"article",H768:H774)</f>
        <v>160784641</v>
      </c>
      <c r="I767" s="68">
        <v>160784641</v>
      </c>
      <c r="J767" s="68">
        <f>SUMIF($B$768:$B$774,"article",J768:J774)</f>
        <v>160604942.04000002</v>
      </c>
      <c r="K767" s="68">
        <f>SUMIF($B$768:$B$774,"article",K768:K774)</f>
        <v>179698.95999999344</v>
      </c>
      <c r="L767" s="69">
        <f>+J767/H767</f>
        <v>0.99888236240176709</v>
      </c>
      <c r="M767" s="68"/>
      <c r="N767" s="68"/>
      <c r="O767" s="9"/>
      <c r="Q767" s="23"/>
      <c r="AK767" s="70"/>
      <c r="AL767" s="70"/>
      <c r="AM767" s="70"/>
      <c r="AN767" s="70"/>
      <c r="AO767" s="11">
        <v>1412119</v>
      </c>
    </row>
    <row r="768" spans="1:42" s="62" customFormat="1" ht="27.75" customHeight="1" thickTop="1" thickBot="1" x14ac:dyDescent="0.3">
      <c r="A768" s="56" t="s">
        <v>22</v>
      </c>
      <c r="B768" s="56" t="s">
        <v>22</v>
      </c>
      <c r="C768" s="57">
        <f t="shared" ref="C768:C774" si="438">IF(A767="SECTION",D767,C767)</f>
        <v>1412119</v>
      </c>
      <c r="D768" s="58">
        <v>1</v>
      </c>
      <c r="E768" s="59" t="str">
        <f t="shared" ref="E768:E774" si="439">IF(D768=1, "DEPENSES DE PERSONNEL",  +IF(D768=2,"DEPENSES DE SERVICES ET CHARGES DIVERSES", +IF(D768=3,"ACHATS DE BIENS DE CONSOMMATION ET PETITS MATERIELS",+IF(D768=4,"IMMOBILISATION CORPORELLE",+IF(D768=5,"IMMOBILISATION INCORPORELLE",+IF(D768=7,"SUBVENTIONS,QUOTES-PARTS ET CONTRIB.,ALLOC, INDEMNISATIONS",+IF(D768=8,"AMORTISSEMENT DE LA DETTE",+IF(D768=9,"AUTRES DEPENSES PUBLIQUES",0))))))))</f>
        <v>DEPENSES DE PERSONNEL</v>
      </c>
      <c r="F768" s="60" t="e">
        <f>SUMIFS([49]mensuel_section_article1!$E$3:$E$962,[49]mensuel_section_article1!$B$3:$B$962,C768,[49]mensuel_section_article1!$C$3:$C$962,D768)</f>
        <v>#VALUE!</v>
      </c>
      <c r="G768" s="60" t="e">
        <f>SUMIFS([49]mensuel_section_article1!$G$3:$G$962,[49]mensuel_section_article1!$B$3:$B$962,C768,[49]mensuel_section_article1!$C$3:$C$962,D768)</f>
        <v>#VALUE!</v>
      </c>
      <c r="H768" s="60">
        <v>141551652</v>
      </c>
      <c r="I768" s="60">
        <v>141551652</v>
      </c>
      <c r="J768" s="60">
        <v>141371966.43000001</v>
      </c>
      <c r="K768" s="60">
        <f t="shared" ref="K768:K774" si="440">+H768-J768</f>
        <v>179685.56999999285</v>
      </c>
      <c r="L768" s="61">
        <f>+J768/H768</f>
        <v>0.99873060068560704</v>
      </c>
      <c r="M768" s="60"/>
      <c r="N768" s="24"/>
      <c r="O768" s="9"/>
      <c r="Q768" s="63"/>
      <c r="AK768" s="64"/>
      <c r="AL768" s="64"/>
      <c r="AM768" s="64"/>
      <c r="AN768" s="64"/>
      <c r="AO768" s="11">
        <v>1412119</v>
      </c>
      <c r="AP768" s="65" t="str">
        <f t="shared" ref="AP768:AP774" si="441">CONCATENATE(AO768,D768)</f>
        <v>14121191</v>
      </c>
    </row>
    <row r="769" spans="1:42" s="62" customFormat="1" ht="27.75" customHeight="1" thickTop="1" thickBot="1" x14ac:dyDescent="0.3">
      <c r="A769" s="56" t="s">
        <v>22</v>
      </c>
      <c r="B769" s="56" t="s">
        <v>22</v>
      </c>
      <c r="C769" s="57">
        <f t="shared" si="438"/>
        <v>1412119</v>
      </c>
      <c r="D769" s="58">
        <v>2</v>
      </c>
      <c r="E769" s="59" t="str">
        <f t="shared" si="439"/>
        <v>DEPENSES DE SERVICES ET CHARGES DIVERSES</v>
      </c>
      <c r="F769" s="60" t="e">
        <f>SUMIFS([49]mensuel_section_article1!$E$3:$E$962,[49]mensuel_section_article1!$B$3:$B$962,C769,[49]mensuel_section_article1!$C$3:$C$962,D769)</f>
        <v>#VALUE!</v>
      </c>
      <c r="G769" s="60" t="e">
        <f>SUMIFS([49]mensuel_section_article1!$G$3:$G$962,[49]mensuel_section_article1!$B$3:$B$962,C769,[49]mensuel_section_article1!$C$3:$C$962,D769)</f>
        <v>#VALUE!</v>
      </c>
      <c r="H769" s="60">
        <v>19232989</v>
      </c>
      <c r="I769" s="60">
        <v>19232989</v>
      </c>
      <c r="J769" s="60">
        <v>19232975.609999999</v>
      </c>
      <c r="K769" s="60">
        <f t="shared" si="440"/>
        <v>13.390000000596046</v>
      </c>
      <c r="L769" s="61">
        <f>+J769/H769</f>
        <v>0.99999930380036095</v>
      </c>
      <c r="M769" s="60"/>
      <c r="N769" s="24"/>
      <c r="O769" s="9"/>
      <c r="Q769" s="63"/>
      <c r="AK769" s="64"/>
      <c r="AL769" s="64"/>
      <c r="AM769" s="64"/>
      <c r="AN769" s="64"/>
      <c r="AO769" s="11">
        <v>1412119</v>
      </c>
      <c r="AP769" s="65" t="str">
        <f t="shared" si="441"/>
        <v>14121192</v>
      </c>
    </row>
    <row r="770" spans="1:42" s="62" customFormat="1" ht="27.75" hidden="1" customHeight="1" thickTop="1" thickBot="1" x14ac:dyDescent="0.3">
      <c r="A770" s="56" t="s">
        <v>22</v>
      </c>
      <c r="B770" s="56" t="s">
        <v>22</v>
      </c>
      <c r="C770" s="57">
        <f t="shared" si="438"/>
        <v>1412119</v>
      </c>
      <c r="D770" s="58">
        <v>3</v>
      </c>
      <c r="E770" s="59" t="str">
        <f t="shared" si="439"/>
        <v>ACHATS DE BIENS DE CONSOMMATION ET PETITS MATERIELS</v>
      </c>
      <c r="F770" s="60" t="e">
        <f>SUMIFS([49]mensuel_section_article1!$E$3:$E$962,[49]mensuel_section_article1!$B$3:$B$962,C770,[49]mensuel_section_article1!$C$3:$C$962,D770)</f>
        <v>#VALUE!</v>
      </c>
      <c r="G770" s="60" t="e">
        <f>SUMIFS([49]mensuel_section_article1!$G$3:$G$962,[49]mensuel_section_article1!$B$3:$B$962,C770,[49]mensuel_section_article1!$C$3:$C$962,D770)</f>
        <v>#VALUE!</v>
      </c>
      <c r="H770" s="60">
        <v>0</v>
      </c>
      <c r="I770" s="60">
        <v>0</v>
      </c>
      <c r="J770" s="60">
        <v>0</v>
      </c>
      <c r="K770" s="60">
        <f t="shared" si="440"/>
        <v>0</v>
      </c>
      <c r="L770" s="61" t="e">
        <f t="shared" si="412"/>
        <v>#VALUE!</v>
      </c>
      <c r="M770" s="60" t="e">
        <f>+SUMIFS([51]section_article!$H$10:$H$936,[51]section_article!$C$10:$C$936,C770,[51]section_article!$D$10:$D$936,D770)</f>
        <v>#VALUE!</v>
      </c>
      <c r="N770" s="24" t="e">
        <f t="shared" ref="N768:N774" si="442">+J770-M770</f>
        <v>#VALUE!</v>
      </c>
      <c r="O770" s="9"/>
      <c r="Q770" s="63"/>
      <c r="AK770" s="64"/>
      <c r="AL770" s="64"/>
      <c r="AM770" s="64"/>
      <c r="AN770" s="64"/>
      <c r="AO770" s="11">
        <v>1412119</v>
      </c>
      <c r="AP770" s="65" t="str">
        <f t="shared" si="441"/>
        <v>14121193</v>
      </c>
    </row>
    <row r="771" spans="1:42" s="62" customFormat="1" ht="27.75" hidden="1" customHeight="1" thickTop="1" thickBot="1" x14ac:dyDescent="0.3">
      <c r="A771" s="56" t="s">
        <v>22</v>
      </c>
      <c r="B771" s="56" t="s">
        <v>22</v>
      </c>
      <c r="C771" s="57">
        <f t="shared" si="438"/>
        <v>1412119</v>
      </c>
      <c r="D771" s="58">
        <v>4</v>
      </c>
      <c r="E771" s="59" t="str">
        <f t="shared" si="439"/>
        <v>IMMOBILISATION CORPORELLE</v>
      </c>
      <c r="F771" s="60" t="e">
        <f>SUMIFS([49]mensuel_section_article1!$E$3:$E$962,[49]mensuel_section_article1!$B$3:$B$962,C771,[49]mensuel_section_article1!$C$3:$C$962,D771)</f>
        <v>#VALUE!</v>
      </c>
      <c r="G771" s="60" t="e">
        <f>SUMIFS([49]mensuel_section_article1!$G$3:$G$962,[49]mensuel_section_article1!$B$3:$B$962,C771,[49]mensuel_section_article1!$C$3:$C$962,D771)</f>
        <v>#VALUE!</v>
      </c>
      <c r="H771" s="60">
        <v>0</v>
      </c>
      <c r="I771" s="60">
        <v>0</v>
      </c>
      <c r="J771" s="60">
        <v>0</v>
      </c>
      <c r="K771" s="60">
        <f t="shared" si="440"/>
        <v>0</v>
      </c>
      <c r="L771" s="61" t="e">
        <f t="shared" si="412"/>
        <v>#VALUE!</v>
      </c>
      <c r="M771" s="60" t="e">
        <f>+SUMIFS([51]section_article!$H$10:$H$936,[51]section_article!$C$10:$C$936,C771,[51]section_article!$D$10:$D$936,D771)</f>
        <v>#VALUE!</v>
      </c>
      <c r="N771" s="24" t="e">
        <f t="shared" si="442"/>
        <v>#VALUE!</v>
      </c>
      <c r="O771" s="9"/>
      <c r="Q771" s="63"/>
      <c r="AK771" s="64"/>
      <c r="AL771" s="64"/>
      <c r="AM771" s="64"/>
      <c r="AN771" s="64"/>
      <c r="AO771" s="11">
        <v>1412119</v>
      </c>
      <c r="AP771" s="65" t="str">
        <f t="shared" si="441"/>
        <v>14121194</v>
      </c>
    </row>
    <row r="772" spans="1:42" s="62" customFormat="1" ht="27.75" hidden="1" customHeight="1" thickTop="1" thickBot="1" x14ac:dyDescent="0.3">
      <c r="A772" s="56" t="s">
        <v>22</v>
      </c>
      <c r="B772" s="56" t="s">
        <v>22</v>
      </c>
      <c r="C772" s="57">
        <f t="shared" si="438"/>
        <v>1412119</v>
      </c>
      <c r="D772" s="58">
        <v>5</v>
      </c>
      <c r="E772" s="59" t="str">
        <f t="shared" si="439"/>
        <v>IMMOBILISATION INCORPORELLE</v>
      </c>
      <c r="F772" s="60" t="e">
        <f>SUMIFS([49]mensuel_section_article1!$E$3:$E$962,[49]mensuel_section_article1!$B$3:$B$962,C772,[49]mensuel_section_article1!$C$3:$C$962,D772)</f>
        <v>#VALUE!</v>
      </c>
      <c r="G772" s="60" t="e">
        <f>SUMIFS([49]mensuel_section_article1!$G$3:$G$962,[49]mensuel_section_article1!$B$3:$B$962,C772,[49]mensuel_section_article1!$C$3:$C$962,D772)</f>
        <v>#VALUE!</v>
      </c>
      <c r="H772" s="60">
        <v>0</v>
      </c>
      <c r="I772" s="60">
        <v>0</v>
      </c>
      <c r="J772" s="60">
        <v>0</v>
      </c>
      <c r="K772" s="60">
        <f t="shared" si="440"/>
        <v>0</v>
      </c>
      <c r="L772" s="61" t="e">
        <f t="shared" si="412"/>
        <v>#VALUE!</v>
      </c>
      <c r="M772" s="60" t="e">
        <f>+SUMIFS([51]section_article!$H$10:$H$936,[51]section_article!$C$10:$C$936,C772,[51]section_article!$D$10:$D$936,D772)</f>
        <v>#VALUE!</v>
      </c>
      <c r="N772" s="24" t="e">
        <f t="shared" si="442"/>
        <v>#VALUE!</v>
      </c>
      <c r="O772" s="9"/>
      <c r="Q772" s="63"/>
      <c r="AK772" s="64"/>
      <c r="AL772" s="64"/>
      <c r="AM772" s="64"/>
      <c r="AN772" s="64"/>
      <c r="AO772" s="11">
        <v>1412119</v>
      </c>
      <c r="AP772" s="65" t="str">
        <f t="shared" si="441"/>
        <v>14121195</v>
      </c>
    </row>
    <row r="773" spans="1:42" s="62" customFormat="1" ht="27.75" hidden="1" customHeight="1" thickTop="1" thickBot="1" x14ac:dyDescent="0.3">
      <c r="A773" s="56" t="s">
        <v>22</v>
      </c>
      <c r="B773" s="56" t="s">
        <v>22</v>
      </c>
      <c r="C773" s="57">
        <f t="shared" si="438"/>
        <v>1412119</v>
      </c>
      <c r="D773" s="58">
        <v>7</v>
      </c>
      <c r="E773" s="59" t="str">
        <f t="shared" si="439"/>
        <v>SUBVENTIONS,QUOTES-PARTS ET CONTRIB.,ALLOC, INDEMNISATIONS</v>
      </c>
      <c r="F773" s="60" t="e">
        <f>SUMIFS([49]mensuel_section_article1!$E$3:$E$962,[49]mensuel_section_article1!$B$3:$B$962,C773,[49]mensuel_section_article1!$C$3:$C$962,D773)</f>
        <v>#VALUE!</v>
      </c>
      <c r="G773" s="60" t="e">
        <f>SUMIFS([49]mensuel_section_article1!$G$3:$G$962,[49]mensuel_section_article1!$B$3:$B$962,C773,[49]mensuel_section_article1!$C$3:$C$962,D773)</f>
        <v>#VALUE!</v>
      </c>
      <c r="H773" s="60">
        <v>0</v>
      </c>
      <c r="I773" s="60">
        <v>0</v>
      </c>
      <c r="J773" s="60">
        <v>0</v>
      </c>
      <c r="K773" s="60">
        <f t="shared" si="440"/>
        <v>0</v>
      </c>
      <c r="L773" s="61" t="e">
        <f t="shared" si="412"/>
        <v>#VALUE!</v>
      </c>
      <c r="M773" s="60" t="e">
        <f>+SUMIFS([51]section_article!$H$10:$H$936,[51]section_article!$C$10:$C$936,C773,[51]section_article!$D$10:$D$936,D773)</f>
        <v>#VALUE!</v>
      </c>
      <c r="N773" s="24" t="e">
        <f t="shared" si="442"/>
        <v>#VALUE!</v>
      </c>
      <c r="O773" s="9"/>
      <c r="Q773" s="63"/>
      <c r="AK773" s="64"/>
      <c r="AL773" s="64"/>
      <c r="AM773" s="64"/>
      <c r="AN773" s="64"/>
      <c r="AO773" s="11">
        <v>1412119</v>
      </c>
      <c r="AP773" s="65" t="str">
        <f t="shared" si="441"/>
        <v>14121197</v>
      </c>
    </row>
    <row r="774" spans="1:42" s="62" customFormat="1" ht="27.75" hidden="1" customHeight="1" thickTop="1" thickBot="1" x14ac:dyDescent="0.3">
      <c r="A774" s="56" t="s">
        <v>22</v>
      </c>
      <c r="B774" s="56" t="s">
        <v>22</v>
      </c>
      <c r="C774" s="57">
        <f t="shared" si="438"/>
        <v>1412119</v>
      </c>
      <c r="D774" s="58">
        <v>9</v>
      </c>
      <c r="E774" s="59" t="str">
        <f t="shared" si="439"/>
        <v>AUTRES DEPENSES PUBLIQUES</v>
      </c>
      <c r="F774" s="60" t="e">
        <f>SUMIFS([49]mensuel_section_article1!$E$3:$E$962,[49]mensuel_section_article1!$B$3:$B$962,C774,[49]mensuel_section_article1!$C$3:$C$962,D774)</f>
        <v>#VALUE!</v>
      </c>
      <c r="G774" s="60" t="e">
        <f>SUMIFS([49]mensuel_section_article1!$G$3:$G$962,[49]mensuel_section_article1!$B$3:$B$962,C774,[49]mensuel_section_article1!$C$3:$C$962,D774)</f>
        <v>#VALUE!</v>
      </c>
      <c r="H774" s="60">
        <v>0</v>
      </c>
      <c r="I774" s="60">
        <v>0</v>
      </c>
      <c r="J774" s="60">
        <v>0</v>
      </c>
      <c r="K774" s="60">
        <f t="shared" si="440"/>
        <v>0</v>
      </c>
      <c r="L774" s="61" t="e">
        <f t="shared" si="412"/>
        <v>#VALUE!</v>
      </c>
      <c r="M774" s="60" t="e">
        <f>+SUMIFS([51]section_article!$H$10:$H$936,[51]section_article!$C$10:$C$936,C774,[51]section_article!$D$10:$D$936,D774)</f>
        <v>#VALUE!</v>
      </c>
      <c r="N774" s="24" t="e">
        <f t="shared" si="442"/>
        <v>#VALUE!</v>
      </c>
      <c r="O774" s="9"/>
      <c r="Q774" s="63"/>
      <c r="AK774" s="64"/>
      <c r="AL774" s="64"/>
      <c r="AM774" s="64"/>
      <c r="AN774" s="64"/>
      <c r="AO774" s="11">
        <v>1412119</v>
      </c>
      <c r="AP774" s="65" t="str">
        <f t="shared" si="441"/>
        <v>14121199</v>
      </c>
    </row>
    <row r="775" spans="1:42" s="1" customFormat="1" ht="27.75" customHeight="1" thickTop="1" thickBot="1" x14ac:dyDescent="0.3">
      <c r="A775" s="50" t="s">
        <v>20</v>
      </c>
      <c r="B775" s="50" t="s">
        <v>20</v>
      </c>
      <c r="C775" s="50" t="s">
        <v>20</v>
      </c>
      <c r="D775" s="51">
        <v>1412123</v>
      </c>
      <c r="E775" s="67" t="s">
        <v>120</v>
      </c>
      <c r="F775" s="68" t="e">
        <f>SUMIF($B$776:$B$776,"article",F776:F776)</f>
        <v>#VALUE!</v>
      </c>
      <c r="G775" s="68" t="e">
        <f>SUMIF($B$776:$B$776,"article",G776:G776)</f>
        <v>#VALUE!</v>
      </c>
      <c r="H775" s="68">
        <f>SUMIF($B$776:$B$776,"article",H776:H776)</f>
        <v>262262999.95999998</v>
      </c>
      <c r="I775" s="68">
        <v>262263000</v>
      </c>
      <c r="J775" s="68">
        <f>SUMIF($B$776:$B$776,"article",J776:J776)</f>
        <v>262153669.96000001</v>
      </c>
      <c r="K775" s="68">
        <f>SUMIF($B$776:$B$776,"article",K776:K776)</f>
        <v>109329.9999999702</v>
      </c>
      <c r="L775" s="69">
        <f>+J775/H775</f>
        <v>0.99958312838632735</v>
      </c>
      <c r="M775" s="68"/>
      <c r="N775" s="68"/>
      <c r="O775" s="9"/>
      <c r="Q775" s="23"/>
      <c r="AK775" s="70"/>
      <c r="AL775" s="70"/>
      <c r="AM775" s="70"/>
      <c r="AN775" s="70"/>
      <c r="AO775" s="11">
        <v>1412123</v>
      </c>
    </row>
    <row r="776" spans="1:42" s="62" customFormat="1" ht="27.75" customHeight="1" thickTop="1" thickBot="1" x14ac:dyDescent="0.3">
      <c r="A776" s="56" t="s">
        <v>22</v>
      </c>
      <c r="B776" s="56" t="s">
        <v>22</v>
      </c>
      <c r="C776" s="57">
        <f>IF(A775="SECTION",D775,C775)</f>
        <v>1412123</v>
      </c>
      <c r="D776" s="58">
        <v>2</v>
      </c>
      <c r="E776" s="59" t="str">
        <f>IF(D776=1, "DEPENSES DE PERSONNEL",  +IF(D776=2,"DEPENSES DE SERVICES ET CHARGES DIVERSES", +IF(D776=3,"ACHATS DE BIENS DE CONSOMMATION ET PETITS MATERIELS",+IF(D776=4,"IMMOBILISATION CORPORELLE",+IF(D776=5,"IMMOBILISATION INCORPORELLE",+IF(D776=7,"SUBVENTIONS,QUOTES-PARTS ET CONTRIB.,ALLOC, INDEMNISATIONS",+IF(D776=8,"AMORTISSEMENT DE LA DETTE",+IF(D776=9,"AUTRES DEPENSES PUBLIQUES",0))))))))</f>
        <v>DEPENSES DE SERVICES ET CHARGES DIVERSES</v>
      </c>
      <c r="F776" s="60" t="e">
        <f>SUMIFS([49]mensuel_section_article1!$E$3:$E$962,[49]mensuel_section_article1!$B$3:$B$962,C776,[49]mensuel_section_article1!$C$3:$C$962,D776)</f>
        <v>#VALUE!</v>
      </c>
      <c r="G776" s="60" t="e">
        <f>SUMIFS([49]mensuel_section_article1!$G$3:$G$962,[49]mensuel_section_article1!$B$3:$B$962,C776,[49]mensuel_section_article1!$C$3:$C$962,D776)</f>
        <v>#VALUE!</v>
      </c>
      <c r="H776" s="60">
        <v>262262999.95999998</v>
      </c>
      <c r="I776" s="60">
        <v>262263000</v>
      </c>
      <c r="J776" s="60">
        <v>262153669.96000001</v>
      </c>
      <c r="K776" s="60">
        <f>+H776-J776</f>
        <v>109329.9999999702</v>
      </c>
      <c r="L776" s="61">
        <f>+J776/H776</f>
        <v>0.99958312838632735</v>
      </c>
      <c r="M776" s="60"/>
      <c r="N776" s="24"/>
      <c r="O776" s="9"/>
      <c r="Q776" s="63"/>
      <c r="AK776" s="64"/>
      <c r="AL776" s="64"/>
      <c r="AM776" s="64"/>
      <c r="AN776" s="64"/>
      <c r="AO776" s="11">
        <v>1412123</v>
      </c>
      <c r="AP776" s="65" t="str">
        <f>CONCATENATE(AO776,D776)</f>
        <v>14121232</v>
      </c>
    </row>
    <row r="777" spans="1:42" s="1" customFormat="1" ht="27.75" customHeight="1" thickTop="1" thickBot="1" x14ac:dyDescent="0.3">
      <c r="A777" s="50" t="s">
        <v>20</v>
      </c>
      <c r="B777" s="50" t="s">
        <v>20</v>
      </c>
      <c r="C777" s="50" t="s">
        <v>20</v>
      </c>
      <c r="D777" s="51">
        <v>1412124</v>
      </c>
      <c r="E777" s="67" t="s">
        <v>121</v>
      </c>
      <c r="F777" s="68" t="e">
        <f>SUMIF($B$778:$B$780,"article",F778:F780)</f>
        <v>#VALUE!</v>
      </c>
      <c r="G777" s="68" t="e">
        <f>SUMIF($B$778:$B$780,"article",G778:G780)</f>
        <v>#VALUE!</v>
      </c>
      <c r="H777" s="68">
        <f>SUMIF($B$778:$B$780,"article",H778:H780)</f>
        <v>60363876</v>
      </c>
      <c r="I777" s="68">
        <v>60363876</v>
      </c>
      <c r="J777" s="68">
        <f>SUMIF($B$778:$B$780,"article",J778:J780)</f>
        <v>54633074.710000008</v>
      </c>
      <c r="K777" s="68">
        <f>SUMIF($B$778:$B$780,"article",K778:K780)</f>
        <v>5730801.2899999954</v>
      </c>
      <c r="L777" s="69">
        <f>+J777/H777</f>
        <v>0.90506240371310831</v>
      </c>
      <c r="M777" s="68"/>
      <c r="N777" s="68"/>
      <c r="O777" s="9"/>
      <c r="Q777" s="23"/>
      <c r="AK777" s="70"/>
      <c r="AL777" s="70"/>
      <c r="AM777" s="70"/>
      <c r="AN777" s="70"/>
      <c r="AO777" s="11">
        <v>1412124</v>
      </c>
    </row>
    <row r="778" spans="1:42" s="62" customFormat="1" ht="27.75" customHeight="1" thickTop="1" thickBot="1" x14ac:dyDescent="0.3">
      <c r="A778" s="56" t="s">
        <v>22</v>
      </c>
      <c r="B778" s="56" t="s">
        <v>22</v>
      </c>
      <c r="C778" s="57">
        <f>IF(A777="SECTION",D777,C777)</f>
        <v>1412124</v>
      </c>
      <c r="D778" s="58">
        <v>1</v>
      </c>
      <c r="E778" s="59" t="str">
        <f>IF(D778=1, "DEPENSES DE PERSONNEL",  +IF(D778=2,"DEPENSES DE SERVICES ET CHARGES DIVERSES", +IF(D778=3,"ACHATS DE BIENS DE CONSOMMATION ET PETITS MATERIELS",+IF(D778=4,"IMMOBILISATION CORPORELLE",+IF(D778=5,"IMMOBILISATION INCORPORELLE",+IF(D778=7,"SUBVENTIONS,QUOTES-PARTS ET CONTRIB.,ALLOC, INDEMNISATIONS",+IF(D778=8,"AMORTISSEMENT DE LA DETTE",+IF(D778=9,"AUTRES DEPENSES PUBLIQUES",0))))))))</f>
        <v>DEPENSES DE PERSONNEL</v>
      </c>
      <c r="F778" s="60" t="e">
        <f>SUMIFS([49]mensuel_section_article1!$E$3:$E$962,[49]mensuel_section_article1!$B$3:$B$962,C778,[49]mensuel_section_article1!$C$3:$C$962,D778)</f>
        <v>#VALUE!</v>
      </c>
      <c r="G778" s="60" t="e">
        <f>SUMIFS([49]mensuel_section_article1!$G$3:$G$962,[49]mensuel_section_article1!$B$3:$B$962,C778,[49]mensuel_section_article1!$C$3:$C$962,D778)</f>
        <v>#VALUE!</v>
      </c>
      <c r="H778" s="60">
        <v>28012559.800000004</v>
      </c>
      <c r="I778" s="60">
        <v>28012559.799999997</v>
      </c>
      <c r="J778" s="60">
        <v>27433272.260000002</v>
      </c>
      <c r="K778" s="60">
        <f t="shared" ref="K778:K780" si="443">+H778-J778</f>
        <v>579287.54000000283</v>
      </c>
      <c r="L778" s="61">
        <f>+J778/H778</f>
        <v>0.97932043539983793</v>
      </c>
      <c r="M778" s="60"/>
      <c r="N778" s="24"/>
      <c r="O778" s="64"/>
      <c r="P778" s="64"/>
      <c r="Q778" s="64"/>
      <c r="R778" s="64"/>
      <c r="S778" s="64"/>
      <c r="T778" s="64"/>
      <c r="U778" s="64"/>
      <c r="V778" s="64"/>
      <c r="W778" s="64">
        <f t="shared" ref="R778:AJ778" si="444">SUM(W776:W777)</f>
        <v>0</v>
      </c>
      <c r="X778" s="64">
        <f t="shared" si="444"/>
        <v>0</v>
      </c>
      <c r="Y778" s="64">
        <f t="shared" si="444"/>
        <v>0</v>
      </c>
      <c r="Z778" s="64">
        <f t="shared" si="444"/>
        <v>0</v>
      </c>
      <c r="AA778" s="64">
        <f t="shared" si="444"/>
        <v>0</v>
      </c>
      <c r="AB778" s="64">
        <f t="shared" si="444"/>
        <v>0</v>
      </c>
      <c r="AC778" s="64">
        <f>SUM(AG776:AG777)</f>
        <v>0</v>
      </c>
      <c r="AD778" s="64">
        <f t="shared" si="444"/>
        <v>0</v>
      </c>
      <c r="AE778" s="64">
        <f t="shared" si="444"/>
        <v>0</v>
      </c>
      <c r="AF778" s="64">
        <f t="shared" si="444"/>
        <v>0</v>
      </c>
      <c r="AG778" s="64">
        <f t="shared" si="444"/>
        <v>0</v>
      </c>
      <c r="AH778" s="64">
        <f t="shared" si="444"/>
        <v>0</v>
      </c>
      <c r="AI778" s="64">
        <f t="shared" si="444"/>
        <v>0</v>
      </c>
      <c r="AJ778" s="64">
        <f t="shared" si="444"/>
        <v>0</v>
      </c>
      <c r="AK778" s="64"/>
      <c r="AL778" s="64"/>
      <c r="AM778" s="64"/>
      <c r="AN778" s="64">
        <f>SUM(AN776:AN777)</f>
        <v>0</v>
      </c>
      <c r="AO778" s="11">
        <v>1412124</v>
      </c>
      <c r="AP778" s="65" t="str">
        <f>CONCATENATE(AO778,D778)</f>
        <v>14121241</v>
      </c>
    </row>
    <row r="779" spans="1:42" s="62" customFormat="1" ht="27.75" customHeight="1" thickTop="1" thickBot="1" x14ac:dyDescent="0.3">
      <c r="A779" s="56" t="s">
        <v>22</v>
      </c>
      <c r="B779" s="56" t="s">
        <v>22</v>
      </c>
      <c r="C779" s="57">
        <f>IF(A777="SECTION",D777,C777)</f>
        <v>1412124</v>
      </c>
      <c r="D779" s="58">
        <v>2</v>
      </c>
      <c r="E779" s="59" t="str">
        <f>IF(D779=1, "DEPENSES DE PERSONNEL",  +IF(D779=2,"DEPENSES DE SERVICES ET CHARGES DIVERSES", +IF(D779=3,"ACHATS DE BIENS DE CONSOMMATION ET PETITS MATERIELS",+IF(D779=4,"IMMOBILISATION CORPORELLE",+IF(D779=5,"IMMOBILISATION INCORPORELLE",+IF(D779=7,"SUBVENTIONS,QUOTES-PARTS ET CONTRIB.,ALLOC, INDEMNISATIONS",+IF(D779=8,"AMORTISSEMENT DE LA DETTE",+IF(D779=9,"AUTRES DEPENSES PUBLIQUES",0))))))))</f>
        <v>DEPENSES DE SERVICES ET CHARGES DIVERSES</v>
      </c>
      <c r="F779" s="60" t="e">
        <f>SUMIFS([49]mensuel_section_article1!$E$3:$E$962,[49]mensuel_section_article1!$B$3:$B$962,C779,[49]mensuel_section_article1!$C$3:$C$962,D779)</f>
        <v>#VALUE!</v>
      </c>
      <c r="G779" s="60" t="e">
        <f>SUMIFS([49]mensuel_section_article1!$G$3:$G$962,[49]mensuel_section_article1!$B$3:$B$962,C779,[49]mensuel_section_article1!$C$3:$C$962,D779)</f>
        <v>#VALUE!</v>
      </c>
      <c r="H779" s="60">
        <v>32351316.199999996</v>
      </c>
      <c r="I779" s="60">
        <v>32351316.199999999</v>
      </c>
      <c r="J779" s="60">
        <v>27199802.450000003</v>
      </c>
      <c r="K779" s="60">
        <f t="shared" si="443"/>
        <v>5151513.7499999925</v>
      </c>
      <c r="L779" s="61">
        <f>+J779/H779</f>
        <v>0.8407633952772533</v>
      </c>
      <c r="M779" s="60"/>
      <c r="N779" s="24"/>
      <c r="O779" s="64"/>
      <c r="P779" s="64"/>
      <c r="Q779" s="64"/>
      <c r="R779" s="64"/>
      <c r="S779" s="64"/>
      <c r="T779" s="64"/>
      <c r="U779" s="64"/>
      <c r="V779" s="64"/>
      <c r="W779" s="64">
        <f t="shared" ref="R779:AJ780" si="445">SUM(W777:W777)</f>
        <v>0</v>
      </c>
      <c r="X779" s="64">
        <f t="shared" si="445"/>
        <v>0</v>
      </c>
      <c r="Y779" s="64">
        <f t="shared" si="445"/>
        <v>0</v>
      </c>
      <c r="Z779" s="64">
        <f t="shared" si="445"/>
        <v>0</v>
      </c>
      <c r="AA779" s="64">
        <f t="shared" si="445"/>
        <v>0</v>
      </c>
      <c r="AB779" s="64">
        <f t="shared" si="445"/>
        <v>0</v>
      </c>
      <c r="AC779" s="64">
        <f>SUM(AG777:AG777)</f>
        <v>0</v>
      </c>
      <c r="AD779" s="64">
        <f t="shared" si="445"/>
        <v>0</v>
      </c>
      <c r="AE779" s="64">
        <f t="shared" si="445"/>
        <v>0</v>
      </c>
      <c r="AF779" s="64">
        <f t="shared" si="445"/>
        <v>0</v>
      </c>
      <c r="AG779" s="64">
        <f t="shared" si="445"/>
        <v>0</v>
      </c>
      <c r="AH779" s="64">
        <f t="shared" si="445"/>
        <v>0</v>
      </c>
      <c r="AI779" s="64">
        <f t="shared" si="445"/>
        <v>0</v>
      </c>
      <c r="AJ779" s="64">
        <f t="shared" si="445"/>
        <v>0</v>
      </c>
      <c r="AK779" s="64"/>
      <c r="AL779" s="64"/>
      <c r="AM779" s="64"/>
      <c r="AN779" s="64">
        <f>SUM(AN777:AN777)</f>
        <v>0</v>
      </c>
      <c r="AO779" s="11">
        <v>1412124</v>
      </c>
      <c r="AP779" s="65" t="str">
        <f>CONCATENATE(AO779,D779)</f>
        <v>14121242</v>
      </c>
    </row>
    <row r="780" spans="1:42" s="62" customFormat="1" ht="27.75" hidden="1" customHeight="1" thickTop="1" thickBot="1" x14ac:dyDescent="0.3">
      <c r="A780" s="56" t="s">
        <v>22</v>
      </c>
      <c r="B780" s="56" t="s">
        <v>22</v>
      </c>
      <c r="C780" s="57">
        <f>IF(A778="SECTION",D778,C778)</f>
        <v>1412124</v>
      </c>
      <c r="D780" s="58">
        <v>7</v>
      </c>
      <c r="E780" s="59" t="str">
        <f>IF(D780=1, "DEPENSES DE PERSONNEL",  +IF(D780=2,"DEPENSES DE SERVICES ET CHARGES DIVERSES", +IF(D780=3,"ACHATS DE BIENS DE CONSOMMATION ET PETITS MATERIELS",+IF(D780=4,"IMMOBILISATION CORPORELLE",+IF(D780=5,"IMMOBILISATION INCORPORELLE",+IF(D780=7,"SUBVENTIONS,QUOTES-PARTS ET CONTRIB.,ALLOC, INDEMNISATIONS",+IF(D780=8,"AMORTISSEMENT DE LA DETTE",+IF(D780=9,"AUTRES DEPENSES PUBLIQUES",0))))))))</f>
        <v>SUBVENTIONS,QUOTES-PARTS ET CONTRIB.,ALLOC, INDEMNISATIONS</v>
      </c>
      <c r="F780" s="60" t="e">
        <f>SUMIFS([49]mensuel_section_article1!$E$3:$E$962,[49]mensuel_section_article1!$B$3:$B$962,C780,[49]mensuel_section_article1!$C$3:$C$962,D780)</f>
        <v>#VALUE!</v>
      </c>
      <c r="G780" s="60" t="e">
        <f>SUMIFS([49]mensuel_section_article1!$G$3:$G$962,[49]mensuel_section_article1!$B$3:$B$962,C780,[49]mensuel_section_article1!$C$3:$C$962,D780)</f>
        <v>#VALUE!</v>
      </c>
      <c r="H780" s="60">
        <v>0</v>
      </c>
      <c r="I780" s="60">
        <v>0</v>
      </c>
      <c r="J780" s="60">
        <v>0</v>
      </c>
      <c r="K780" s="60">
        <f t="shared" si="443"/>
        <v>0</v>
      </c>
      <c r="L780" s="61" t="e">
        <f t="shared" si="412"/>
        <v>#VALUE!</v>
      </c>
      <c r="M780" s="60" t="e">
        <f>+SUMIFS([51]section_article!$H$10:$H$936,[51]section_article!$C$10:$C$936,C780,[51]section_article!$D$10:$D$936,D780)</f>
        <v>#VALUE!</v>
      </c>
      <c r="N780" s="24" t="e">
        <f>+J780-M780</f>
        <v>#VALUE!</v>
      </c>
      <c r="O780" s="64"/>
      <c r="P780" s="64"/>
      <c r="Q780" s="64"/>
      <c r="R780" s="64">
        <f t="shared" si="445"/>
        <v>0</v>
      </c>
      <c r="S780" s="64">
        <f t="shared" si="445"/>
        <v>0</v>
      </c>
      <c r="T780" s="64">
        <f t="shared" si="445"/>
        <v>0</v>
      </c>
      <c r="U780" s="64">
        <f t="shared" si="445"/>
        <v>0</v>
      </c>
      <c r="V780" s="64">
        <f t="shared" si="445"/>
        <v>0</v>
      </c>
      <c r="W780" s="64">
        <f t="shared" si="445"/>
        <v>0</v>
      </c>
      <c r="X780" s="64">
        <f t="shared" si="445"/>
        <v>0</v>
      </c>
      <c r="Y780" s="64">
        <f t="shared" si="445"/>
        <v>0</v>
      </c>
      <c r="Z780" s="64">
        <f t="shared" si="445"/>
        <v>0</v>
      </c>
      <c r="AA780" s="64">
        <f t="shared" si="445"/>
        <v>0</v>
      </c>
      <c r="AB780" s="64">
        <f t="shared" si="445"/>
        <v>0</v>
      </c>
      <c r="AC780" s="64">
        <f>SUM(AG778:AG778)</f>
        <v>0</v>
      </c>
      <c r="AD780" s="64">
        <f t="shared" si="445"/>
        <v>0</v>
      </c>
      <c r="AE780" s="64">
        <f t="shared" si="445"/>
        <v>0</v>
      </c>
      <c r="AF780" s="64">
        <f t="shared" si="445"/>
        <v>0</v>
      </c>
      <c r="AG780" s="64">
        <f t="shared" si="445"/>
        <v>0</v>
      </c>
      <c r="AH780" s="64">
        <f t="shared" si="445"/>
        <v>0</v>
      </c>
      <c r="AI780" s="64">
        <f t="shared" si="445"/>
        <v>0</v>
      </c>
      <c r="AJ780" s="64">
        <f t="shared" si="445"/>
        <v>0</v>
      </c>
      <c r="AK780" s="64"/>
      <c r="AL780" s="64"/>
      <c r="AM780" s="64"/>
      <c r="AN780" s="64">
        <f>SUM(AN778:AN778)</f>
        <v>0</v>
      </c>
      <c r="AO780" s="11">
        <v>1412124</v>
      </c>
      <c r="AP780" s="65" t="str">
        <f>CONCATENATE(AO780,D780)</f>
        <v>14121247</v>
      </c>
    </row>
    <row r="781" spans="1:42" s="1" customFormat="1" ht="27.75" customHeight="1" thickTop="1" thickBot="1" x14ac:dyDescent="0.3">
      <c r="A781" s="50" t="s">
        <v>20</v>
      </c>
      <c r="B781" s="50" t="s">
        <v>20</v>
      </c>
      <c r="C781" s="50" t="s">
        <v>20</v>
      </c>
      <c r="D781" s="51">
        <v>1412125</v>
      </c>
      <c r="E781" s="67" t="s">
        <v>122</v>
      </c>
      <c r="F781" s="68" t="e">
        <f>SUMIF($B$782:$B$784,"article",F782:F784)</f>
        <v>#VALUE!</v>
      </c>
      <c r="G781" s="68" t="e">
        <f>SUMIF($B$782:$B$784,"article",G782:G784)</f>
        <v>#VALUE!</v>
      </c>
      <c r="H781" s="68">
        <f>SUMIF($B$782:$B$784,"article",H782:H784)</f>
        <v>48034629</v>
      </c>
      <c r="I781" s="68">
        <v>48034629</v>
      </c>
      <c r="J781" s="68">
        <f>SUMIF($B$782:$B$784,"article",J782:J784)</f>
        <v>46643114.350000001</v>
      </c>
      <c r="K781" s="68">
        <f>SUMIF($B$782:$B$784,"article",K782:K784)</f>
        <v>1391514.6499999985</v>
      </c>
      <c r="L781" s="69">
        <f>+J781/H781</f>
        <v>0.9710310107734984</v>
      </c>
      <c r="M781" s="68"/>
      <c r="N781" s="68"/>
      <c r="O781" s="9"/>
      <c r="Q781" s="23"/>
      <c r="AK781" s="70"/>
      <c r="AL781" s="70"/>
      <c r="AM781" s="70"/>
      <c r="AN781" s="70"/>
      <c r="AO781" s="11">
        <v>1412125</v>
      </c>
    </row>
    <row r="782" spans="1:42" s="62" customFormat="1" ht="27.75" customHeight="1" thickTop="1" thickBot="1" x14ac:dyDescent="0.3">
      <c r="A782" s="56" t="s">
        <v>22</v>
      </c>
      <c r="B782" s="56" t="s">
        <v>22</v>
      </c>
      <c r="C782" s="57">
        <f>IF(A781="SECTION",D781,C781)</f>
        <v>1412125</v>
      </c>
      <c r="D782" s="58">
        <v>1</v>
      </c>
      <c r="E782" s="59" t="str">
        <f>IF(D782=1, "DEPENSES DE PERSONNEL",  +IF(D782=2,"DEPENSES DE SERVICES ET CHARGES DIVERSES", +IF(D782=3,"ACHATS DE BIENS DE CONSOMMATION ET PETITS MATERIELS",+IF(D782=4,"IMMOBILISATION CORPORELLE",+IF(D782=5,"IMMOBILISATION INCORPORELLE",+IF(D782=7,"SUBVENTIONS,QUOTES-PARTS ET CONTRIB.,ALLOC, INDEMNISATIONS",+IF(D782=8,"AMORTISSEMENT DE LA DETTE",+IF(D782=9,"AUTRES DEPENSES PUBLIQUES",0))))))))</f>
        <v>DEPENSES DE PERSONNEL</v>
      </c>
      <c r="F782" s="60" t="e">
        <f>SUMIFS([49]mensuel_section_article1!$E$3:$E$962,[49]mensuel_section_article1!$B$3:$B$962,C782,[49]mensuel_section_article1!$C$3:$C$962,D782)</f>
        <v>#VALUE!</v>
      </c>
      <c r="G782" s="60" t="e">
        <f>SUMIFS([49]mensuel_section_article1!$G$3:$G$962,[49]mensuel_section_article1!$B$3:$B$962,C782,[49]mensuel_section_article1!$C$3:$C$962,D782)</f>
        <v>#VALUE!</v>
      </c>
      <c r="H782" s="60">
        <v>23083104.899999999</v>
      </c>
      <c r="I782" s="60">
        <v>23083104.900000002</v>
      </c>
      <c r="J782" s="60">
        <v>21809233.160000004</v>
      </c>
      <c r="K782" s="60">
        <f t="shared" ref="K782:K784" si="446">+H782-J782</f>
        <v>1273871.7399999946</v>
      </c>
      <c r="L782" s="61">
        <f>+J782/H782</f>
        <v>0.94481367452434895</v>
      </c>
      <c r="M782" s="60"/>
      <c r="N782" s="24"/>
      <c r="O782" s="9"/>
      <c r="Q782" s="63"/>
      <c r="AK782" s="64"/>
      <c r="AL782" s="64"/>
      <c r="AM782" s="64"/>
      <c r="AN782" s="64"/>
      <c r="AO782" s="11">
        <v>1412125</v>
      </c>
      <c r="AP782" s="65" t="str">
        <f>CONCATENATE(AO782,D782)</f>
        <v>14121251</v>
      </c>
    </row>
    <row r="783" spans="1:42" s="62" customFormat="1" ht="27.75" customHeight="1" thickTop="1" thickBot="1" x14ac:dyDescent="0.3">
      <c r="A783" s="56" t="s">
        <v>22</v>
      </c>
      <c r="B783" s="56" t="s">
        <v>22</v>
      </c>
      <c r="C783" s="57">
        <f>IF(A781="SECTION",D781,C781)</f>
        <v>1412125</v>
      </c>
      <c r="D783" s="58">
        <v>2</v>
      </c>
      <c r="E783" s="59" t="str">
        <f>IF(D783=1, "DEPENSES DE PERSONNEL",  +IF(D783=2,"DEPENSES DE SERVICES ET CHARGES DIVERSES", +IF(D783=3,"ACHATS DE BIENS DE CONSOMMATION ET PETITS MATERIELS",+IF(D783=4,"IMMOBILISATION CORPORELLE",+IF(D783=5,"IMMOBILISATION INCORPORELLE",+IF(D783=7,"SUBVENTIONS,QUOTES-PARTS ET CONTRIB.,ALLOC, INDEMNISATIONS",+IF(D783=8,"AMORTISSEMENT DE LA DETTE",+IF(D783=9,"AUTRES DEPENSES PUBLIQUES",0))))))))</f>
        <v>DEPENSES DE SERVICES ET CHARGES DIVERSES</v>
      </c>
      <c r="F783" s="60" t="e">
        <f>SUMIFS([49]mensuel_section_article1!$E$3:$E$962,[49]mensuel_section_article1!$B$3:$B$962,C783,[49]mensuel_section_article1!$C$3:$C$962,D783)</f>
        <v>#VALUE!</v>
      </c>
      <c r="G783" s="60" t="e">
        <f>SUMIFS([49]mensuel_section_article1!$G$3:$G$962,[49]mensuel_section_article1!$B$3:$B$962,C783,[49]mensuel_section_article1!$C$3:$C$962,D783)</f>
        <v>#VALUE!</v>
      </c>
      <c r="H783" s="60">
        <v>24951524.100000001</v>
      </c>
      <c r="I783" s="60">
        <v>24951524.100000001</v>
      </c>
      <c r="J783" s="60">
        <v>24833881.189999998</v>
      </c>
      <c r="K783" s="60">
        <f t="shared" si="446"/>
        <v>117642.91000000387</v>
      </c>
      <c r="L783" s="61">
        <f>+J783/H783</f>
        <v>0.99528514131928303</v>
      </c>
      <c r="M783" s="60"/>
      <c r="N783" s="24"/>
      <c r="O783" s="9"/>
      <c r="Q783" s="63"/>
      <c r="AK783" s="64"/>
      <c r="AL783" s="64"/>
      <c r="AM783" s="64"/>
      <c r="AN783" s="64"/>
      <c r="AO783" s="11">
        <v>1412125</v>
      </c>
      <c r="AP783" s="65" t="str">
        <f>CONCATENATE(AO783,D783)</f>
        <v>14121252</v>
      </c>
    </row>
    <row r="784" spans="1:42" s="62" customFormat="1" ht="27.75" hidden="1" customHeight="1" thickTop="1" thickBot="1" x14ac:dyDescent="0.3">
      <c r="A784" s="56" t="s">
        <v>22</v>
      </c>
      <c r="B784" s="56" t="s">
        <v>22</v>
      </c>
      <c r="C784" s="57">
        <f>IF(A782="SECTION",D782,C782)</f>
        <v>1412125</v>
      </c>
      <c r="D784" s="58">
        <v>7</v>
      </c>
      <c r="E784" s="59" t="str">
        <f>IF(D784=1, "DEPENSES DE PERSONNEL",  +IF(D784=2,"DEPENSES DE SERVICES ET CHARGES DIVERSES", +IF(D784=3,"ACHATS DE BIENS DE CONSOMMATION ET PETITS MATERIELS",+IF(D784=4,"IMMOBILISATION CORPORELLE",+IF(D784=5,"IMMOBILISATION INCORPORELLE",+IF(D784=7,"SUBVENTIONS,QUOTES-PARTS ET CONTRIB.,ALLOC, INDEMNISATIONS",+IF(D784=8,"AMORTISSEMENT DE LA DETTE",+IF(D784=9,"AUTRES DEPENSES PUBLIQUES",0))))))))</f>
        <v>SUBVENTIONS,QUOTES-PARTS ET CONTRIB.,ALLOC, INDEMNISATIONS</v>
      </c>
      <c r="F784" s="60" t="e">
        <f>SUMIFS([49]mensuel_section_article1!$E$3:$E$962,[49]mensuel_section_article1!$B$3:$B$962,C784,[49]mensuel_section_article1!$C$3:$C$962,D784)</f>
        <v>#VALUE!</v>
      </c>
      <c r="G784" s="60" t="e">
        <f>SUMIFS([49]mensuel_section_article1!$G$3:$G$962,[49]mensuel_section_article1!$B$3:$B$962,C784,[49]mensuel_section_article1!$C$3:$C$962,D784)</f>
        <v>#VALUE!</v>
      </c>
      <c r="H784" s="60">
        <v>0</v>
      </c>
      <c r="I784" s="60">
        <v>0</v>
      </c>
      <c r="J784" s="60">
        <v>0</v>
      </c>
      <c r="K784" s="60">
        <f t="shared" si="446"/>
        <v>0</v>
      </c>
      <c r="L784" s="61" t="e">
        <f t="shared" si="412"/>
        <v>#VALUE!</v>
      </c>
      <c r="M784" s="60" t="e">
        <f>+SUMIFS([51]section_article!$H$10:$H$936,[51]section_article!$C$10:$C$936,C784,[51]section_article!$D$10:$D$936,D784)</f>
        <v>#VALUE!</v>
      </c>
      <c r="N784" s="24" t="e">
        <f>+J784-M784</f>
        <v>#VALUE!</v>
      </c>
      <c r="O784" s="9"/>
      <c r="Q784" s="63"/>
      <c r="AK784" s="64"/>
      <c r="AL784" s="64"/>
      <c r="AM784" s="64"/>
      <c r="AN784" s="64"/>
      <c r="AO784" s="11">
        <v>1412125</v>
      </c>
      <c r="AP784" s="65" t="str">
        <f>CONCATENATE(AO784,D784)</f>
        <v>14121257</v>
      </c>
    </row>
    <row r="785" spans="1:42" s="1" customFormat="1" ht="27.75" customHeight="1" thickTop="1" x14ac:dyDescent="0.25">
      <c r="A785" s="37" t="s">
        <v>16</v>
      </c>
      <c r="B785" s="37" t="s">
        <v>16</v>
      </c>
      <c r="C785" s="37" t="s">
        <v>16</v>
      </c>
      <c r="D785" s="73">
        <v>1413</v>
      </c>
      <c r="E785" s="74" t="s">
        <v>123</v>
      </c>
      <c r="F785" s="75" t="e">
        <f>SUMIF($B$786:$B$818,"chap",F786:F818)</f>
        <v>#VALUE!</v>
      </c>
      <c r="G785" s="75" t="e">
        <f>SUMIF($B$786:$B$818,"chap",G786:G818)</f>
        <v>#VALUE!</v>
      </c>
      <c r="H785" s="75">
        <f>SUMIF($B$786:$B$818,"chap",H786:H818)</f>
        <v>337227446.41999996</v>
      </c>
      <c r="I785" s="75">
        <v>337227446.39999998</v>
      </c>
      <c r="J785" s="75">
        <f>SUMIF($B$786:$B$818,"chap",J786:J818)</f>
        <v>309743794.18000001</v>
      </c>
      <c r="K785" s="75">
        <f>SUMIF($B$786:$B$818,"chap",K786:K818)</f>
        <v>27483652.239999972</v>
      </c>
      <c r="L785" s="76">
        <f t="shared" ref="L785:L790" si="447">+J785/H785</f>
        <v>0.9185011406047584</v>
      </c>
      <c r="M785" s="75"/>
      <c r="N785" s="75"/>
      <c r="O785" s="9"/>
      <c r="Q785" s="23"/>
      <c r="AK785" s="77"/>
      <c r="AL785" s="77"/>
      <c r="AM785" s="77"/>
      <c r="AN785" s="77"/>
      <c r="AO785" s="11"/>
    </row>
    <row r="786" spans="1:42" s="49" customFormat="1" ht="27.75" customHeight="1" x14ac:dyDescent="0.25">
      <c r="A786" s="43" t="s">
        <v>19</v>
      </c>
      <c r="B786" s="43" t="s">
        <v>19</v>
      </c>
      <c r="C786" s="43" t="s">
        <v>19</v>
      </c>
      <c r="D786" s="44">
        <v>14131</v>
      </c>
      <c r="E786" s="45" t="str">
        <f>VLOOKUP(D786,[49]INST!$A$1:$B$626,2,FALSE)</f>
        <v>SERVICES INTERNES</v>
      </c>
      <c r="F786" s="46" t="e">
        <f>SUMIF($B$787:$B$818,"section",F787:F818)</f>
        <v>#VALUE!</v>
      </c>
      <c r="G786" s="46" t="e">
        <f>SUMIF($B$787:$B$818,"section",G787:G818)</f>
        <v>#VALUE!</v>
      </c>
      <c r="H786" s="46">
        <f>SUMIF($B$787:$B$818,"section",H787:H818)</f>
        <v>337227446.41999996</v>
      </c>
      <c r="I786" s="46">
        <v>337227446.39999998</v>
      </c>
      <c r="J786" s="46">
        <f>SUMIF($B$787:$B$818,"section",J787:J818)</f>
        <v>309743794.18000001</v>
      </c>
      <c r="K786" s="46">
        <f>SUMIF($B$787:$B$818,"section",K787:K818)</f>
        <v>27483652.239999972</v>
      </c>
      <c r="L786" s="47">
        <f t="shared" si="447"/>
        <v>0.9185011406047584</v>
      </c>
      <c r="M786" s="46"/>
      <c r="N786" s="46"/>
      <c r="O786" s="48"/>
      <c r="AO786" s="11"/>
    </row>
    <row r="787" spans="1:42" s="1" customFormat="1" ht="27.75" customHeight="1" thickBot="1" x14ac:dyDescent="0.3">
      <c r="A787" s="50" t="s">
        <v>20</v>
      </c>
      <c r="B787" s="50" t="s">
        <v>20</v>
      </c>
      <c r="C787" s="50" t="s">
        <v>20</v>
      </c>
      <c r="D787" s="51">
        <v>1413111</v>
      </c>
      <c r="E787" s="67" t="s">
        <v>21</v>
      </c>
      <c r="F787" s="68" t="e">
        <f>SUMIF($B$788:$B$794,"article",F788:F794)</f>
        <v>#VALUE!</v>
      </c>
      <c r="G787" s="68" t="e">
        <f>SUMIF($B$788:$B$794,"article",G788:G794)</f>
        <v>#VALUE!</v>
      </c>
      <c r="H787" s="68">
        <f>SUMIF($B$788:$B$794,"article",H788:H794)</f>
        <v>27986498.909999996</v>
      </c>
      <c r="I787" s="68">
        <v>25857591.819999997</v>
      </c>
      <c r="J787" s="68">
        <f>SUMIF($B$788:$B$794,"article",J788:J794)</f>
        <v>20488275.809999999</v>
      </c>
      <c r="K787" s="68">
        <f>SUMIF($B$788:$B$794,"article",K788:K794)</f>
        <v>7498223.0999999968</v>
      </c>
      <c r="L787" s="69">
        <f t="shared" si="447"/>
        <v>0.73207713032941146</v>
      </c>
      <c r="M787" s="68"/>
      <c r="N787" s="68"/>
      <c r="O787" s="9"/>
      <c r="Q787" s="23"/>
      <c r="AK787" s="70"/>
      <c r="AL787" s="70"/>
      <c r="AM787" s="70"/>
      <c r="AN787" s="70"/>
      <c r="AO787" s="11">
        <v>1413111</v>
      </c>
    </row>
    <row r="788" spans="1:42" s="62" customFormat="1" ht="27.75" customHeight="1" thickTop="1" thickBot="1" x14ac:dyDescent="0.3">
      <c r="A788" s="56" t="s">
        <v>22</v>
      </c>
      <c r="B788" s="56" t="s">
        <v>22</v>
      </c>
      <c r="C788" s="57">
        <f t="shared" ref="C788:C794" si="448">IF(A787="SECTION",D787,C787)</f>
        <v>1413111</v>
      </c>
      <c r="D788" s="58">
        <v>1</v>
      </c>
      <c r="E788" s="59" t="str">
        <f t="shared" ref="E788:E794" si="449">IF(D788=1, "DEPENSES DE PERSONNEL",  +IF(D788=2,"DEPENSES DE SERVICES ET CHARGES DIVERSES", +IF(D788=3,"ACHATS DE BIENS DE CONSOMMATION ET PETITS MATERIELS",+IF(D788=4,"IMMOBILISATION CORPORELLE",+IF(D788=5,"IMMOBILISATION INCORPORELLE",+IF(D788=7,"SUBVENTIONS,QUOTES-PARTS ET CONTRIB.,ALLOC, INDEMNISATIONS",+IF(D788=8,"AMORTISSEMENT DE LA DETTE",+IF(D788=9,"AUTRES DEPENSES PUBLIQUES",0))))))))</f>
        <v>DEPENSES DE PERSONNEL</v>
      </c>
      <c r="F788" s="60" t="e">
        <f>SUMIFS([49]mensuel_section_article1!$E$3:$E$962,[49]mensuel_section_article1!$B$3:$B$962,C788,[49]mensuel_section_article1!$C$3:$C$962,D788)</f>
        <v>#VALUE!</v>
      </c>
      <c r="G788" s="60" t="e">
        <f>SUMIFS([49]mensuel_section_article1!$G$3:$G$962,[49]mensuel_section_article1!$B$3:$B$962,C788,[49]mensuel_section_article1!$C$3:$C$962,D788)</f>
        <v>#VALUE!</v>
      </c>
      <c r="H788" s="60">
        <v>6596751.1399999959</v>
      </c>
      <c r="I788" s="60">
        <v>6567747.1200000001</v>
      </c>
      <c r="J788" s="60">
        <v>6452040</v>
      </c>
      <c r="K788" s="60">
        <f t="shared" ref="K788:K794" si="450">+H788-J788</f>
        <v>144711.13999999594</v>
      </c>
      <c r="L788" s="61">
        <f t="shared" si="447"/>
        <v>0.9780632713090347</v>
      </c>
      <c r="M788" s="60"/>
      <c r="N788" s="24"/>
      <c r="O788" s="9"/>
      <c r="Q788" s="63"/>
      <c r="AK788" s="64"/>
      <c r="AL788" s="64"/>
      <c r="AM788" s="64"/>
      <c r="AN788" s="64"/>
      <c r="AO788" s="11">
        <v>1413111</v>
      </c>
      <c r="AP788" s="65" t="str">
        <f t="shared" ref="AP788:AP794" si="451">CONCATENATE(AO788,D788)</f>
        <v>14131111</v>
      </c>
    </row>
    <row r="789" spans="1:42" s="62" customFormat="1" ht="27.75" customHeight="1" thickTop="1" thickBot="1" x14ac:dyDescent="0.3">
      <c r="A789" s="56" t="s">
        <v>22</v>
      </c>
      <c r="B789" s="56" t="s">
        <v>22</v>
      </c>
      <c r="C789" s="57">
        <f t="shared" si="448"/>
        <v>1413111</v>
      </c>
      <c r="D789" s="58">
        <v>2</v>
      </c>
      <c r="E789" s="59" t="str">
        <f t="shared" si="449"/>
        <v>DEPENSES DE SERVICES ET CHARGES DIVERSES</v>
      </c>
      <c r="F789" s="60" t="e">
        <f>SUMIFS([49]mensuel_section_article1!$E$3:$E$962,[49]mensuel_section_article1!$B$3:$B$962,C789,[49]mensuel_section_article1!$C$3:$C$962,D789)</f>
        <v>#VALUE!</v>
      </c>
      <c r="G789" s="60" t="e">
        <f>SUMIFS([49]mensuel_section_article1!$G$3:$G$962,[49]mensuel_section_article1!$B$3:$B$962,C789,[49]mensuel_section_article1!$C$3:$C$962,D789)</f>
        <v>#VALUE!</v>
      </c>
      <c r="H789" s="60">
        <v>9929622.9299999997</v>
      </c>
      <c r="I789" s="60">
        <v>7895661.9000000004</v>
      </c>
      <c r="J789" s="60">
        <v>4161723.69</v>
      </c>
      <c r="K789" s="60">
        <f t="shared" si="450"/>
        <v>5767899.2400000002</v>
      </c>
      <c r="L789" s="61">
        <f t="shared" si="447"/>
        <v>0.41912202702343704</v>
      </c>
      <c r="M789" s="60"/>
      <c r="N789" s="24"/>
      <c r="O789" s="9"/>
      <c r="Q789" s="63"/>
      <c r="AK789" s="64"/>
      <c r="AL789" s="64"/>
      <c r="AM789" s="64"/>
      <c r="AN789" s="64"/>
      <c r="AO789" s="11">
        <v>1413111</v>
      </c>
      <c r="AP789" s="65" t="str">
        <f t="shared" si="451"/>
        <v>14131112</v>
      </c>
    </row>
    <row r="790" spans="1:42" s="62" customFormat="1" ht="27.75" customHeight="1" thickTop="1" thickBot="1" x14ac:dyDescent="0.3">
      <c r="A790" s="56" t="s">
        <v>22</v>
      </c>
      <c r="B790" s="56" t="s">
        <v>22</v>
      </c>
      <c r="C790" s="57">
        <f t="shared" si="448"/>
        <v>1413111</v>
      </c>
      <c r="D790" s="58">
        <v>3</v>
      </c>
      <c r="E790" s="59" t="str">
        <f t="shared" si="449"/>
        <v>ACHATS DE BIENS DE CONSOMMATION ET PETITS MATERIELS</v>
      </c>
      <c r="F790" s="60" t="e">
        <f>SUMIFS([49]mensuel_section_article1!$E$3:$E$962,[49]mensuel_section_article1!$B$3:$B$962,C790,[49]mensuel_section_article1!$C$3:$C$962,D790)</f>
        <v>#VALUE!</v>
      </c>
      <c r="G790" s="60" t="e">
        <f>SUMIFS([49]mensuel_section_article1!$G$3:$G$962,[49]mensuel_section_article1!$B$3:$B$962,C790,[49]mensuel_section_article1!$C$3:$C$962,D790)</f>
        <v>#VALUE!</v>
      </c>
      <c r="H790" s="60">
        <v>6665999.2200000007</v>
      </c>
      <c r="I790" s="60">
        <v>8849509.1999999993</v>
      </c>
      <c r="J790" s="60">
        <v>7997607.1200000001</v>
      </c>
      <c r="K790" s="60">
        <f t="shared" si="450"/>
        <v>-1331607.8999999994</v>
      </c>
      <c r="L790" s="61">
        <f t="shared" si="447"/>
        <v>1.1997611844905076</v>
      </c>
      <c r="M790" s="60"/>
      <c r="N790" s="24"/>
      <c r="O790" s="9"/>
      <c r="Q790" s="63"/>
      <c r="AK790" s="64"/>
      <c r="AL790" s="64"/>
      <c r="AM790" s="64"/>
      <c r="AN790" s="64"/>
      <c r="AO790" s="11">
        <v>1413111</v>
      </c>
      <c r="AP790" s="65" t="str">
        <f t="shared" si="451"/>
        <v>14131113</v>
      </c>
    </row>
    <row r="791" spans="1:42" s="62" customFormat="1" ht="27.75" hidden="1" customHeight="1" thickTop="1" thickBot="1" x14ac:dyDescent="0.3">
      <c r="A791" s="56" t="s">
        <v>22</v>
      </c>
      <c r="B791" s="56" t="s">
        <v>22</v>
      </c>
      <c r="C791" s="57">
        <f t="shared" si="448"/>
        <v>1413111</v>
      </c>
      <c r="D791" s="58">
        <v>4</v>
      </c>
      <c r="E791" s="59" t="str">
        <f t="shared" si="449"/>
        <v>IMMOBILISATION CORPORELLE</v>
      </c>
      <c r="F791" s="60" t="e">
        <f>SUMIFS([49]mensuel_section_article1!$E$3:$E$962,[49]mensuel_section_article1!$B$3:$B$962,C791,[49]mensuel_section_article1!$C$3:$C$962,D791)</f>
        <v>#VALUE!</v>
      </c>
      <c r="G791" s="60" t="e">
        <f>SUMIFS([49]mensuel_section_article1!$G$3:$G$962,[49]mensuel_section_article1!$B$3:$B$962,C791,[49]mensuel_section_article1!$C$3:$C$962,D791)</f>
        <v>#VALUE!</v>
      </c>
      <c r="H791" s="60">
        <v>1.1600000001490116</v>
      </c>
      <c r="I791" s="60">
        <v>1.2</v>
      </c>
      <c r="J791" s="60">
        <v>0</v>
      </c>
      <c r="K791" s="60">
        <f t="shared" si="450"/>
        <v>1.1600000001490116</v>
      </c>
      <c r="L791" s="61" t="e">
        <f>IF(F791&lt;&gt;0,K791/F791,0)</f>
        <v>#VALUE!</v>
      </c>
      <c r="M791" s="60" t="e">
        <f>+SUMIFS([51]section_article!$H$10:$H$936,[51]section_article!$C$10:$C$936,C791,[51]section_article!$D$10:$D$936,D791)</f>
        <v>#VALUE!</v>
      </c>
      <c r="N791" s="24" t="e">
        <f t="shared" ref="N788:N794" si="452">+J791-M791</f>
        <v>#VALUE!</v>
      </c>
      <c r="O791" s="9"/>
      <c r="Q791" s="63"/>
      <c r="AK791" s="64"/>
      <c r="AL791" s="64"/>
      <c r="AM791" s="64"/>
      <c r="AN791" s="64"/>
      <c r="AO791" s="11">
        <v>1413111</v>
      </c>
      <c r="AP791" s="65" t="str">
        <f t="shared" si="451"/>
        <v>14131114</v>
      </c>
    </row>
    <row r="792" spans="1:42" s="62" customFormat="1" ht="27.75" customHeight="1" thickTop="1" thickBot="1" x14ac:dyDescent="0.3">
      <c r="A792" s="56" t="s">
        <v>22</v>
      </c>
      <c r="B792" s="56" t="s">
        <v>22</v>
      </c>
      <c r="C792" s="57">
        <f t="shared" si="448"/>
        <v>1413111</v>
      </c>
      <c r="D792" s="58">
        <v>5</v>
      </c>
      <c r="E792" s="59" t="str">
        <f t="shared" si="449"/>
        <v>IMMOBILISATION INCORPORELLE</v>
      </c>
      <c r="F792" s="60" t="e">
        <f>SUMIFS([49]mensuel_section_article1!$E$3:$E$962,[49]mensuel_section_article1!$B$3:$B$962,C792,[49]mensuel_section_article1!$C$3:$C$962,D792)</f>
        <v>#VALUE!</v>
      </c>
      <c r="G792" s="60" t="e">
        <f>SUMIFS([49]mensuel_section_article1!$G$3:$G$962,[49]mensuel_section_article1!$B$3:$B$962,C792,[49]mensuel_section_article1!$C$3:$C$962,D792)</f>
        <v>#VALUE!</v>
      </c>
      <c r="H792" s="60">
        <v>987303.04</v>
      </c>
      <c r="I792" s="60">
        <v>487303</v>
      </c>
      <c r="J792" s="60">
        <v>0</v>
      </c>
      <c r="K792" s="60">
        <f t="shared" si="450"/>
        <v>987303.04</v>
      </c>
      <c r="L792" s="61">
        <f>+J792/H792</f>
        <v>0</v>
      </c>
      <c r="M792" s="60"/>
      <c r="N792" s="24"/>
      <c r="O792" s="9"/>
      <c r="Q792" s="63"/>
      <c r="AK792" s="64"/>
      <c r="AL792" s="64"/>
      <c r="AM792" s="64"/>
      <c r="AN792" s="64"/>
      <c r="AO792" s="11">
        <v>1413111</v>
      </c>
      <c r="AP792" s="65" t="str">
        <f t="shared" si="451"/>
        <v>14131115</v>
      </c>
    </row>
    <row r="793" spans="1:42" s="62" customFormat="1" ht="27.75" hidden="1" customHeight="1" thickTop="1" thickBot="1" x14ac:dyDescent="0.3">
      <c r="A793" s="56" t="s">
        <v>22</v>
      </c>
      <c r="B793" s="56" t="s">
        <v>22</v>
      </c>
      <c r="C793" s="57">
        <f t="shared" si="448"/>
        <v>1413111</v>
      </c>
      <c r="D793" s="58">
        <v>7</v>
      </c>
      <c r="E793" s="59" t="str">
        <f t="shared" si="449"/>
        <v>SUBVENTIONS,QUOTES-PARTS ET CONTRIB.,ALLOC, INDEMNISATIONS</v>
      </c>
      <c r="F793" s="60" t="e">
        <f>SUMIFS([49]mensuel_section_article1!$E$3:$E$962,[49]mensuel_section_article1!$B$3:$B$962,C793,[49]mensuel_section_article1!$C$3:$C$962,D793)</f>
        <v>#VALUE!</v>
      </c>
      <c r="G793" s="60" t="e">
        <f>SUMIFS([49]mensuel_section_article1!$G$3:$G$962,[49]mensuel_section_article1!$B$3:$B$962,C793,[49]mensuel_section_article1!$C$3:$C$962,D793)</f>
        <v>#VALUE!</v>
      </c>
      <c r="H793" s="60">
        <v>0</v>
      </c>
      <c r="I793" s="60">
        <v>0</v>
      </c>
      <c r="J793" s="60">
        <v>0</v>
      </c>
      <c r="K793" s="60">
        <f t="shared" si="450"/>
        <v>0</v>
      </c>
      <c r="L793" s="61" t="e">
        <f>IF(F793&lt;&gt;0,K793/F793,0)</f>
        <v>#VALUE!</v>
      </c>
      <c r="M793" s="60" t="e">
        <f>+SUMIFS([51]section_article!$H$10:$H$936,[51]section_article!$C$10:$C$936,C793,[51]section_article!$D$10:$D$936,D793)</f>
        <v>#VALUE!</v>
      </c>
      <c r="N793" s="24" t="e">
        <f t="shared" si="452"/>
        <v>#VALUE!</v>
      </c>
      <c r="O793" s="9"/>
      <c r="Q793" s="63"/>
      <c r="AK793" s="64"/>
      <c r="AL793" s="64"/>
      <c r="AM793" s="64"/>
      <c r="AN793" s="64"/>
      <c r="AO793" s="11">
        <v>1413111</v>
      </c>
      <c r="AP793" s="65" t="str">
        <f t="shared" si="451"/>
        <v>14131117</v>
      </c>
    </row>
    <row r="794" spans="1:42" s="62" customFormat="1" ht="27.75" customHeight="1" thickTop="1" thickBot="1" x14ac:dyDescent="0.3">
      <c r="A794" s="56" t="s">
        <v>22</v>
      </c>
      <c r="B794" s="56" t="s">
        <v>22</v>
      </c>
      <c r="C794" s="57">
        <f t="shared" si="448"/>
        <v>1413111</v>
      </c>
      <c r="D794" s="58">
        <v>9</v>
      </c>
      <c r="E794" s="59" t="str">
        <f t="shared" si="449"/>
        <v>AUTRES DEPENSES PUBLIQUES</v>
      </c>
      <c r="F794" s="60" t="e">
        <f>SUMIFS([49]mensuel_section_article1!$E$3:$E$962,[49]mensuel_section_article1!$B$3:$B$962,C794,[49]mensuel_section_article1!$C$3:$C$962,D794)</f>
        <v>#VALUE!</v>
      </c>
      <c r="G794" s="60" t="e">
        <f>SUMIFS([49]mensuel_section_article1!$G$3:$G$962,[49]mensuel_section_article1!$B$3:$B$962,C794,[49]mensuel_section_article1!$C$3:$C$962,D794)</f>
        <v>#VALUE!</v>
      </c>
      <c r="H794" s="60">
        <v>3806821.42</v>
      </c>
      <c r="I794" s="60">
        <v>2057369.4</v>
      </c>
      <c r="J794" s="60">
        <v>1876905</v>
      </c>
      <c r="K794" s="60">
        <f t="shared" si="450"/>
        <v>1929916.42</v>
      </c>
      <c r="L794" s="61">
        <f t="shared" ref="L794:L799" si="453">+J794/H794</f>
        <v>0.49303731195250028</v>
      </c>
      <c r="M794" s="60"/>
      <c r="N794" s="24"/>
      <c r="O794" s="9"/>
      <c r="Q794" s="63"/>
      <c r="AK794" s="64"/>
      <c r="AL794" s="64"/>
      <c r="AM794" s="64"/>
      <c r="AN794" s="64"/>
      <c r="AO794" s="11">
        <v>1413111</v>
      </c>
      <c r="AP794" s="65" t="str">
        <f t="shared" si="451"/>
        <v>14131119</v>
      </c>
    </row>
    <row r="795" spans="1:42" s="1" customFormat="1" ht="27.75" customHeight="1" thickTop="1" thickBot="1" x14ac:dyDescent="0.3">
      <c r="A795" s="50" t="s">
        <v>20</v>
      </c>
      <c r="B795" s="50" t="s">
        <v>20</v>
      </c>
      <c r="C795" s="50" t="s">
        <v>20</v>
      </c>
      <c r="D795" s="51">
        <v>1413112</v>
      </c>
      <c r="E795" s="67" t="s">
        <v>23</v>
      </c>
      <c r="F795" s="68" t="e">
        <f>SUMIF($B$796:$B$802,"article",F796:F802)</f>
        <v>#VALUE!</v>
      </c>
      <c r="G795" s="68" t="e">
        <f>SUMIF($B$796:$B$802,"article",G796:G802)</f>
        <v>#VALUE!</v>
      </c>
      <c r="H795" s="68">
        <f>SUMIF($B$796:$B$802,"article",H796:H802)</f>
        <v>85213563</v>
      </c>
      <c r="I795" s="68">
        <v>87342470.080000013</v>
      </c>
      <c r="J795" s="68">
        <f>SUMIF($B$796:$B$802,"article",J796:J802)</f>
        <v>74696096.590000004</v>
      </c>
      <c r="K795" s="68">
        <f>SUMIF($B$796:$B$802,"article",K796:K802)</f>
        <v>10517466.409999985</v>
      </c>
      <c r="L795" s="69">
        <f t="shared" si="453"/>
        <v>0.87657520657832377</v>
      </c>
      <c r="M795" s="68"/>
      <c r="N795" s="68"/>
      <c r="O795" s="9"/>
      <c r="Q795" s="23"/>
      <c r="AK795" s="70"/>
      <c r="AL795" s="70"/>
      <c r="AM795" s="70"/>
      <c r="AN795" s="70"/>
      <c r="AO795" s="11">
        <v>1413112</v>
      </c>
    </row>
    <row r="796" spans="1:42" s="62" customFormat="1" ht="27.75" customHeight="1" thickTop="1" thickBot="1" x14ac:dyDescent="0.3">
      <c r="A796" s="56" t="s">
        <v>22</v>
      </c>
      <c r="B796" s="56" t="s">
        <v>22</v>
      </c>
      <c r="C796" s="57">
        <f t="shared" ref="C796:C802" si="454">IF(A795="SECTION",D795,C795)</f>
        <v>1413112</v>
      </c>
      <c r="D796" s="58">
        <v>1</v>
      </c>
      <c r="E796" s="59" t="str">
        <f t="shared" ref="E796:E802" si="455">IF(D796=1, "DEPENSES DE PERSONNEL",  +IF(D796=2,"DEPENSES DE SERVICES ET CHARGES DIVERSES", +IF(D796=3,"ACHATS DE BIENS DE CONSOMMATION ET PETITS MATERIELS",+IF(D796=4,"IMMOBILISATION CORPORELLE",+IF(D796=5,"IMMOBILISATION INCORPORELLE",+IF(D796=7,"SUBVENTIONS,QUOTES-PARTS ET CONTRIB.,ALLOC, INDEMNISATIONS",+IF(D796=8,"AMORTISSEMENT DE LA DETTE",+IF(D796=9,"AUTRES DEPENSES PUBLIQUES",0))))))))</f>
        <v>DEPENSES DE PERSONNEL</v>
      </c>
      <c r="F796" s="60" t="e">
        <f>SUMIFS([49]mensuel_section_article1!$E$3:$E$962,[49]mensuel_section_article1!$B$3:$B$962,C796,[49]mensuel_section_article1!$C$3:$C$962,D796)</f>
        <v>#VALUE!</v>
      </c>
      <c r="G796" s="60" t="e">
        <f>SUMIFS([49]mensuel_section_article1!$G$3:$G$962,[49]mensuel_section_article1!$B$3:$B$962,C796,[49]mensuel_section_article1!$C$3:$C$962,D796)</f>
        <v>#VALUE!</v>
      </c>
      <c r="H796" s="60">
        <v>50299794.999999993</v>
      </c>
      <c r="I796" s="60">
        <v>50328798.980000004</v>
      </c>
      <c r="J796" s="60">
        <v>49313717.260000005</v>
      </c>
      <c r="K796" s="60">
        <f t="shared" ref="K796:K802" si="456">+H796-J796</f>
        <v>986077.73999998719</v>
      </c>
      <c r="L796" s="61">
        <f t="shared" si="453"/>
        <v>0.9803959888902134</v>
      </c>
      <c r="M796" s="60"/>
      <c r="N796" s="24"/>
      <c r="O796" s="9"/>
      <c r="Q796" s="63"/>
      <c r="AK796" s="64"/>
      <c r="AL796" s="64"/>
      <c r="AM796" s="64"/>
      <c r="AN796" s="64"/>
      <c r="AO796" s="11">
        <v>1413112</v>
      </c>
      <c r="AP796" s="65" t="str">
        <f t="shared" ref="AP796:AP802" si="457">CONCATENATE(AO796,D796)</f>
        <v>14131121</v>
      </c>
    </row>
    <row r="797" spans="1:42" s="62" customFormat="1" ht="27.75" customHeight="1" thickTop="1" thickBot="1" x14ac:dyDescent="0.3">
      <c r="A797" s="56" t="s">
        <v>22</v>
      </c>
      <c r="B797" s="56" t="s">
        <v>22</v>
      </c>
      <c r="C797" s="57">
        <f t="shared" si="454"/>
        <v>1413112</v>
      </c>
      <c r="D797" s="58">
        <v>2</v>
      </c>
      <c r="E797" s="59" t="str">
        <f t="shared" si="455"/>
        <v>DEPENSES DE SERVICES ET CHARGES DIVERSES</v>
      </c>
      <c r="F797" s="60" t="e">
        <f>SUMIFS([49]mensuel_section_article1!$E$3:$E$962,[49]mensuel_section_article1!$B$3:$B$962,C797,[49]mensuel_section_article1!$C$3:$C$962,D797)</f>
        <v>#VALUE!</v>
      </c>
      <c r="G797" s="60" t="e">
        <f>SUMIFS([49]mensuel_section_article1!$G$3:$G$962,[49]mensuel_section_article1!$B$3:$B$962,C797,[49]mensuel_section_article1!$C$3:$C$962,D797)</f>
        <v>#VALUE!</v>
      </c>
      <c r="H797" s="60">
        <v>16945671.27</v>
      </c>
      <c r="I797" s="60">
        <v>19192582.299999997</v>
      </c>
      <c r="J797" s="60">
        <v>17243697.990000002</v>
      </c>
      <c r="K797" s="60">
        <f t="shared" si="456"/>
        <v>-298026.72000000253</v>
      </c>
      <c r="L797" s="61">
        <f t="shared" si="453"/>
        <v>1.0175871888018753</v>
      </c>
      <c r="M797" s="60"/>
      <c r="N797" s="24"/>
      <c r="O797" s="9"/>
      <c r="Q797" s="63"/>
      <c r="AK797" s="64"/>
      <c r="AL797" s="64"/>
      <c r="AM797" s="64"/>
      <c r="AN797" s="64"/>
      <c r="AO797" s="11">
        <v>1413112</v>
      </c>
      <c r="AP797" s="65" t="str">
        <f t="shared" si="457"/>
        <v>14131122</v>
      </c>
    </row>
    <row r="798" spans="1:42" s="62" customFormat="1" ht="27.75" customHeight="1" thickTop="1" thickBot="1" x14ac:dyDescent="0.3">
      <c r="A798" s="56" t="s">
        <v>22</v>
      </c>
      <c r="B798" s="56" t="s">
        <v>22</v>
      </c>
      <c r="C798" s="57">
        <f t="shared" si="454"/>
        <v>1413112</v>
      </c>
      <c r="D798" s="58">
        <v>3</v>
      </c>
      <c r="E798" s="59" t="str">
        <f t="shared" si="455"/>
        <v>ACHATS DE BIENS DE CONSOMMATION ET PETITS MATERIELS</v>
      </c>
      <c r="F798" s="60" t="e">
        <f>SUMIFS([49]mensuel_section_article1!$E$3:$E$962,[49]mensuel_section_article1!$B$3:$B$962,C798,[49]mensuel_section_article1!$C$3:$C$962,D798)</f>
        <v>#VALUE!</v>
      </c>
      <c r="G798" s="60" t="e">
        <f>SUMIFS([49]mensuel_section_article1!$G$3:$G$962,[49]mensuel_section_article1!$B$3:$B$962,C798,[49]mensuel_section_article1!$C$3:$C$962,D798)</f>
        <v>#VALUE!</v>
      </c>
      <c r="H798" s="60">
        <v>6561379.7800000003</v>
      </c>
      <c r="I798" s="60">
        <v>7440422.79</v>
      </c>
      <c r="J798" s="60">
        <v>4511633.34</v>
      </c>
      <c r="K798" s="60">
        <f t="shared" si="456"/>
        <v>2049746.4400000004</v>
      </c>
      <c r="L798" s="61">
        <f t="shared" si="453"/>
        <v>0.68760435933796837</v>
      </c>
      <c r="M798" s="60"/>
      <c r="N798" s="24"/>
      <c r="O798" s="9"/>
      <c r="Q798" s="63"/>
      <c r="AK798" s="64"/>
      <c r="AL798" s="64"/>
      <c r="AM798" s="64"/>
      <c r="AN798" s="64"/>
      <c r="AO798" s="11">
        <v>1413112</v>
      </c>
      <c r="AP798" s="65" t="str">
        <f t="shared" si="457"/>
        <v>14131123</v>
      </c>
    </row>
    <row r="799" spans="1:42" s="62" customFormat="1" ht="27.75" customHeight="1" thickTop="1" thickBot="1" x14ac:dyDescent="0.3">
      <c r="A799" s="56" t="s">
        <v>22</v>
      </c>
      <c r="B799" s="56" t="s">
        <v>22</v>
      </c>
      <c r="C799" s="57">
        <f t="shared" si="454"/>
        <v>1413112</v>
      </c>
      <c r="D799" s="58">
        <v>4</v>
      </c>
      <c r="E799" s="59" t="str">
        <f t="shared" si="455"/>
        <v>IMMOBILISATION CORPORELLE</v>
      </c>
      <c r="F799" s="60" t="e">
        <f>SUMIFS([49]mensuel_section_article1!$E$3:$E$962,[49]mensuel_section_article1!$B$3:$B$962,C799,[49]mensuel_section_article1!$C$3:$C$962,D799)</f>
        <v>#VALUE!</v>
      </c>
      <c r="G799" s="60" t="e">
        <f>SUMIFS([49]mensuel_section_article1!$G$3:$G$962,[49]mensuel_section_article1!$B$3:$B$962,C799,[49]mensuel_section_article1!$C$3:$C$962,D799)</f>
        <v>#VALUE!</v>
      </c>
      <c r="H799" s="60">
        <v>4880665.5799999982</v>
      </c>
      <c r="I799" s="60">
        <v>5380665.3999999994</v>
      </c>
      <c r="J799" s="60">
        <v>1050548</v>
      </c>
      <c r="K799" s="60">
        <f t="shared" si="456"/>
        <v>3830117.5799999982</v>
      </c>
      <c r="L799" s="61">
        <f t="shared" si="453"/>
        <v>0.2152468721284527</v>
      </c>
      <c r="M799" s="60"/>
      <c r="N799" s="24"/>
      <c r="O799" s="9"/>
      <c r="Q799" s="63"/>
      <c r="AK799" s="64"/>
      <c r="AL799" s="64"/>
      <c r="AM799" s="64"/>
      <c r="AN799" s="64"/>
      <c r="AO799" s="11">
        <v>1413112</v>
      </c>
      <c r="AP799" s="65" t="str">
        <f t="shared" si="457"/>
        <v>14131124</v>
      </c>
    </row>
    <row r="800" spans="1:42" s="62" customFormat="1" ht="27.75" hidden="1" customHeight="1" thickTop="1" thickBot="1" x14ac:dyDescent="0.3">
      <c r="A800" s="56" t="s">
        <v>22</v>
      </c>
      <c r="B800" s="56" t="s">
        <v>22</v>
      </c>
      <c r="C800" s="57">
        <f t="shared" si="454"/>
        <v>1413112</v>
      </c>
      <c r="D800" s="58">
        <v>5</v>
      </c>
      <c r="E800" s="59" t="str">
        <f t="shared" si="455"/>
        <v>IMMOBILISATION INCORPORELLE</v>
      </c>
      <c r="F800" s="60" t="e">
        <f>SUMIFS([49]mensuel_section_article1!$E$3:$E$962,[49]mensuel_section_article1!$B$3:$B$962,C800,[49]mensuel_section_article1!$C$3:$C$962,D800)</f>
        <v>#VALUE!</v>
      </c>
      <c r="G800" s="60" t="e">
        <f>SUMIFS([49]mensuel_section_article1!$G$3:$G$962,[49]mensuel_section_article1!$B$3:$B$962,C800,[49]mensuel_section_article1!$C$3:$C$962,D800)</f>
        <v>#VALUE!</v>
      </c>
      <c r="H800" s="60">
        <v>0</v>
      </c>
      <c r="I800" s="60">
        <v>0</v>
      </c>
      <c r="J800" s="60">
        <v>0</v>
      </c>
      <c r="K800" s="60">
        <f t="shared" si="456"/>
        <v>0</v>
      </c>
      <c r="L800" s="61" t="e">
        <f>IF(F800&lt;&gt;0,K800/F800,0)</f>
        <v>#VALUE!</v>
      </c>
      <c r="M800" s="60" t="e">
        <f>+SUMIFS([51]section_article!$H$10:$H$936,[51]section_article!$C$10:$C$936,C800,[51]section_article!$D$10:$D$936,D800)</f>
        <v>#VALUE!</v>
      </c>
      <c r="N800" s="24" t="e">
        <f t="shared" ref="N796:N802" si="458">+J800-M800</f>
        <v>#VALUE!</v>
      </c>
      <c r="O800" s="9"/>
      <c r="Q800" s="63"/>
      <c r="AK800" s="64"/>
      <c r="AL800" s="64"/>
      <c r="AM800" s="64"/>
      <c r="AN800" s="64"/>
      <c r="AO800" s="11">
        <v>1413112</v>
      </c>
      <c r="AP800" s="65" t="str">
        <f t="shared" si="457"/>
        <v>14131125</v>
      </c>
    </row>
    <row r="801" spans="1:42" s="62" customFormat="1" ht="27.75" hidden="1" customHeight="1" thickTop="1" thickBot="1" x14ac:dyDescent="0.3">
      <c r="A801" s="56" t="s">
        <v>22</v>
      </c>
      <c r="B801" s="56" t="s">
        <v>22</v>
      </c>
      <c r="C801" s="57">
        <f t="shared" si="454"/>
        <v>1413112</v>
      </c>
      <c r="D801" s="58">
        <v>7</v>
      </c>
      <c r="E801" s="59" t="str">
        <f t="shared" si="455"/>
        <v>SUBVENTIONS,QUOTES-PARTS ET CONTRIB.,ALLOC, INDEMNISATIONS</v>
      </c>
      <c r="F801" s="60" t="e">
        <f>SUMIFS([49]mensuel_section_article1!$E$3:$E$962,[49]mensuel_section_article1!$B$3:$B$962,C801,[49]mensuel_section_article1!$C$3:$C$962,D801)</f>
        <v>#VALUE!</v>
      </c>
      <c r="G801" s="60" t="e">
        <f>SUMIFS([49]mensuel_section_article1!$G$3:$G$962,[49]mensuel_section_article1!$B$3:$B$962,C801,[49]mensuel_section_article1!$C$3:$C$962,D801)</f>
        <v>#VALUE!</v>
      </c>
      <c r="H801" s="60">
        <v>0</v>
      </c>
      <c r="I801" s="60">
        <v>0</v>
      </c>
      <c r="J801" s="60">
        <v>0</v>
      </c>
      <c r="K801" s="60">
        <f t="shared" si="456"/>
        <v>0</v>
      </c>
      <c r="L801" s="61" t="e">
        <f>IF(F801&lt;&gt;0,K801/F801,0)</f>
        <v>#VALUE!</v>
      </c>
      <c r="M801" s="60" t="e">
        <f>+SUMIFS([51]section_article!$H$10:$H$936,[51]section_article!$C$10:$C$936,C801,[51]section_article!$D$10:$D$936,D801)</f>
        <v>#VALUE!</v>
      </c>
      <c r="N801" s="24" t="e">
        <f t="shared" si="458"/>
        <v>#VALUE!</v>
      </c>
      <c r="O801" s="9"/>
      <c r="Q801" s="63"/>
      <c r="AK801" s="64"/>
      <c r="AL801" s="64"/>
      <c r="AM801" s="64"/>
      <c r="AN801" s="64"/>
      <c r="AO801" s="11">
        <v>1413112</v>
      </c>
      <c r="AP801" s="65" t="str">
        <f t="shared" si="457"/>
        <v>14131127</v>
      </c>
    </row>
    <row r="802" spans="1:42" s="62" customFormat="1" ht="27.75" customHeight="1" thickTop="1" thickBot="1" x14ac:dyDescent="0.3">
      <c r="A802" s="56" t="s">
        <v>22</v>
      </c>
      <c r="B802" s="56" t="s">
        <v>22</v>
      </c>
      <c r="C802" s="57">
        <f t="shared" si="454"/>
        <v>1413112</v>
      </c>
      <c r="D802" s="58">
        <v>9</v>
      </c>
      <c r="E802" s="59" t="str">
        <f t="shared" si="455"/>
        <v>AUTRES DEPENSES PUBLIQUES</v>
      </c>
      <c r="F802" s="60" t="e">
        <f>SUMIFS([49]mensuel_section_article1!$E$3:$E$962,[49]mensuel_section_article1!$B$3:$B$962,C802,[49]mensuel_section_article1!$C$3:$C$962,D802)</f>
        <v>#VALUE!</v>
      </c>
      <c r="G802" s="60" t="e">
        <f>SUMIFS([49]mensuel_section_article1!$G$3:$G$962,[49]mensuel_section_article1!$B$3:$B$962,C802,[49]mensuel_section_article1!$C$3:$C$962,D802)</f>
        <v>#VALUE!</v>
      </c>
      <c r="H802" s="60">
        <v>6526051.370000001</v>
      </c>
      <c r="I802" s="60">
        <v>5000000.6100000003</v>
      </c>
      <c r="J802" s="60">
        <v>2576500</v>
      </c>
      <c r="K802" s="60">
        <f t="shared" si="456"/>
        <v>3949551.370000001</v>
      </c>
      <c r="L802" s="61">
        <f>+J802/H802</f>
        <v>0.39480228608742923</v>
      </c>
      <c r="M802" s="60"/>
      <c r="N802" s="24"/>
      <c r="O802" s="9"/>
      <c r="Q802" s="63"/>
      <c r="AK802" s="64"/>
      <c r="AL802" s="64"/>
      <c r="AM802" s="64"/>
      <c r="AN802" s="64"/>
      <c r="AO802" s="11">
        <v>1413112</v>
      </c>
      <c r="AP802" s="65" t="str">
        <f t="shared" si="457"/>
        <v>14131129</v>
      </c>
    </row>
    <row r="803" spans="1:42" s="1" customFormat="1" ht="27.75" customHeight="1" thickTop="1" thickBot="1" x14ac:dyDescent="0.3">
      <c r="A803" s="50" t="s">
        <v>20</v>
      </c>
      <c r="B803" s="50" t="s">
        <v>20</v>
      </c>
      <c r="C803" s="50" t="s">
        <v>20</v>
      </c>
      <c r="D803" s="51">
        <v>1413113</v>
      </c>
      <c r="E803" s="67" t="s">
        <v>124</v>
      </c>
      <c r="F803" s="68" t="e">
        <f>SUMIF($B$804:$B$810,"article",F804:F810)</f>
        <v>#VALUE!</v>
      </c>
      <c r="G803" s="68" t="e">
        <f>SUMIF($B$804:$B$810,"article",G804:G810)</f>
        <v>#VALUE!</v>
      </c>
      <c r="H803" s="68">
        <f>SUMIF($B$804:$B$810,"article",H804:H810)</f>
        <v>150828501</v>
      </c>
      <c r="I803" s="68">
        <v>150828501</v>
      </c>
      <c r="J803" s="68">
        <f>SUMIF($B$804:$B$810,"article",J804:J810)</f>
        <v>147445937.56999999</v>
      </c>
      <c r="K803" s="68">
        <f>SUMIF($B$804:$B$810,"article",K804:K810)</f>
        <v>3382563.4299999923</v>
      </c>
      <c r="L803" s="69">
        <f>+J803/H803</f>
        <v>0.97757344661271939</v>
      </c>
      <c r="M803" s="68"/>
      <c r="N803" s="68"/>
      <c r="O803" s="9"/>
      <c r="Q803" s="23"/>
      <c r="AK803" s="70"/>
      <c r="AL803" s="70"/>
      <c r="AM803" s="70"/>
      <c r="AN803" s="70"/>
      <c r="AO803" s="11">
        <v>1413113</v>
      </c>
    </row>
    <row r="804" spans="1:42" s="62" customFormat="1" ht="27.75" customHeight="1" thickTop="1" thickBot="1" x14ac:dyDescent="0.3">
      <c r="A804" s="56" t="s">
        <v>22</v>
      </c>
      <c r="B804" s="56" t="s">
        <v>22</v>
      </c>
      <c r="C804" s="57">
        <f t="shared" ref="C804:C810" si="459">IF(A803="SECTION",D803,C803)</f>
        <v>1413113</v>
      </c>
      <c r="D804" s="58">
        <v>1</v>
      </c>
      <c r="E804" s="59" t="str">
        <f t="shared" ref="E804:E810" si="460">IF(D804=1, "DEPENSES DE PERSONNEL",  +IF(D804=2,"DEPENSES DE SERVICES ET CHARGES DIVERSES", +IF(D804=3,"ACHATS DE BIENS DE CONSOMMATION ET PETITS MATERIELS",+IF(D804=4,"IMMOBILISATION CORPORELLE",+IF(D804=5,"IMMOBILISATION INCORPORELLE",+IF(D804=7,"SUBVENTIONS,QUOTES-PARTS ET CONTRIB.,ALLOC, INDEMNISATIONS",+IF(D804=8,"AMORTISSEMENT DE LA DETTE",+IF(D804=9,"AUTRES DEPENSES PUBLIQUES",0))))))))</f>
        <v>DEPENSES DE PERSONNEL</v>
      </c>
      <c r="F804" s="60" t="e">
        <f>SUMIFS([49]mensuel_section_article1!$E$3:$E$962,[49]mensuel_section_article1!$B$3:$B$962,C804,[49]mensuel_section_article1!$C$3:$C$962,D804)</f>
        <v>#VALUE!</v>
      </c>
      <c r="G804" s="60" t="e">
        <f>SUMIFS([49]mensuel_section_article1!$G$3:$G$962,[49]mensuel_section_article1!$B$3:$B$962,C804,[49]mensuel_section_article1!$C$3:$C$962,D804)</f>
        <v>#VALUE!</v>
      </c>
      <c r="H804" s="60">
        <v>116856148.47999999</v>
      </c>
      <c r="I804" s="60">
        <v>116856148.5</v>
      </c>
      <c r="J804" s="60">
        <v>113548379.38999999</v>
      </c>
      <c r="K804" s="60">
        <f t="shared" ref="K804:K810" si="461">+H804-J804</f>
        <v>3307769.0900000036</v>
      </c>
      <c r="L804" s="61">
        <f>+J804/H804</f>
        <v>0.97169366667457702</v>
      </c>
      <c r="M804" s="60"/>
      <c r="N804" s="24"/>
      <c r="O804" s="9"/>
      <c r="Q804" s="63"/>
      <c r="AK804" s="64"/>
      <c r="AL804" s="64"/>
      <c r="AM804" s="64"/>
      <c r="AN804" s="64"/>
      <c r="AO804" s="11">
        <v>1413113</v>
      </c>
      <c r="AP804" s="65" t="str">
        <f t="shared" ref="AP804:AP810" si="462">CONCATENATE(AO804,D804)</f>
        <v>14131131</v>
      </c>
    </row>
    <row r="805" spans="1:42" s="62" customFormat="1" ht="27.75" customHeight="1" thickTop="1" thickBot="1" x14ac:dyDescent="0.3">
      <c r="A805" s="56" t="s">
        <v>22</v>
      </c>
      <c r="B805" s="56" t="s">
        <v>22</v>
      </c>
      <c r="C805" s="57">
        <f t="shared" si="459"/>
        <v>1413113</v>
      </c>
      <c r="D805" s="58">
        <v>2</v>
      </c>
      <c r="E805" s="59" t="str">
        <f t="shared" si="460"/>
        <v>DEPENSES DE SERVICES ET CHARGES DIVERSES</v>
      </c>
      <c r="F805" s="60" t="e">
        <f>SUMIFS([49]mensuel_section_article1!$E$3:$E$962,[49]mensuel_section_article1!$B$3:$B$962,C805,[49]mensuel_section_article1!$C$3:$C$962,D805)</f>
        <v>#VALUE!</v>
      </c>
      <c r="G805" s="60" t="e">
        <f>SUMIFS([49]mensuel_section_article1!$G$3:$G$962,[49]mensuel_section_article1!$B$3:$B$962,C805,[49]mensuel_section_article1!$C$3:$C$962,D805)</f>
        <v>#VALUE!</v>
      </c>
      <c r="H805" s="60">
        <v>33972352.519999996</v>
      </c>
      <c r="I805" s="60">
        <v>33972352.5</v>
      </c>
      <c r="J805" s="60">
        <v>33897558.180000007</v>
      </c>
      <c r="K805" s="60">
        <f t="shared" si="461"/>
        <v>74794.339999988675</v>
      </c>
      <c r="L805" s="61">
        <f>+J805/H805</f>
        <v>0.99779837619558565</v>
      </c>
      <c r="M805" s="60"/>
      <c r="N805" s="24"/>
      <c r="O805" s="9"/>
      <c r="Q805" s="63"/>
      <c r="AK805" s="64"/>
      <c r="AL805" s="64"/>
      <c r="AM805" s="64"/>
      <c r="AN805" s="64"/>
      <c r="AO805" s="11">
        <v>1413113</v>
      </c>
      <c r="AP805" s="65" t="str">
        <f t="shared" si="462"/>
        <v>14131132</v>
      </c>
    </row>
    <row r="806" spans="1:42" s="62" customFormat="1" ht="27.75" hidden="1" customHeight="1" thickTop="1" thickBot="1" x14ac:dyDescent="0.3">
      <c r="A806" s="56" t="s">
        <v>22</v>
      </c>
      <c r="B806" s="56" t="s">
        <v>22</v>
      </c>
      <c r="C806" s="57">
        <f t="shared" si="459"/>
        <v>1413113</v>
      </c>
      <c r="D806" s="58">
        <v>3</v>
      </c>
      <c r="E806" s="59" t="str">
        <f t="shared" si="460"/>
        <v>ACHATS DE BIENS DE CONSOMMATION ET PETITS MATERIELS</v>
      </c>
      <c r="F806" s="60" t="e">
        <f>SUMIFS([49]mensuel_section_article1!$E$3:$E$962,[49]mensuel_section_article1!$B$3:$B$962,C806,[49]mensuel_section_article1!$C$3:$C$962,D806)</f>
        <v>#VALUE!</v>
      </c>
      <c r="G806" s="60" t="e">
        <f>SUMIFS([49]mensuel_section_article1!$G$3:$G$962,[49]mensuel_section_article1!$B$3:$B$962,C806,[49]mensuel_section_article1!$C$3:$C$962,D806)</f>
        <v>#VALUE!</v>
      </c>
      <c r="H806" s="60">
        <v>0</v>
      </c>
      <c r="I806" s="60">
        <v>0</v>
      </c>
      <c r="J806" s="60">
        <v>0</v>
      </c>
      <c r="K806" s="60">
        <f t="shared" si="461"/>
        <v>0</v>
      </c>
      <c r="L806" s="61" t="e">
        <f>IF(F806&lt;&gt;0,K806/F806,0)</f>
        <v>#VALUE!</v>
      </c>
      <c r="M806" s="60" t="e">
        <f>+SUMIFS([51]section_article!$H$10:$H$936,[51]section_article!$C$10:$C$936,C806,[51]section_article!$D$10:$D$936,D806)</f>
        <v>#VALUE!</v>
      </c>
      <c r="N806" s="24" t="e">
        <f t="shared" ref="N804:N810" si="463">+J806-M806</f>
        <v>#VALUE!</v>
      </c>
      <c r="O806" s="9"/>
      <c r="Q806" s="63"/>
      <c r="AK806" s="64"/>
      <c r="AL806" s="64"/>
      <c r="AM806" s="64"/>
      <c r="AN806" s="64"/>
      <c r="AO806" s="11">
        <v>1413113</v>
      </c>
      <c r="AP806" s="65" t="str">
        <f t="shared" si="462"/>
        <v>14131133</v>
      </c>
    </row>
    <row r="807" spans="1:42" s="62" customFormat="1" ht="27.75" hidden="1" customHeight="1" thickTop="1" thickBot="1" x14ac:dyDescent="0.3">
      <c r="A807" s="56" t="s">
        <v>22</v>
      </c>
      <c r="B807" s="56" t="s">
        <v>22</v>
      </c>
      <c r="C807" s="57">
        <f t="shared" si="459"/>
        <v>1413113</v>
      </c>
      <c r="D807" s="58">
        <v>4</v>
      </c>
      <c r="E807" s="59" t="str">
        <f t="shared" si="460"/>
        <v>IMMOBILISATION CORPORELLE</v>
      </c>
      <c r="F807" s="60" t="e">
        <f>SUMIFS([49]mensuel_section_article1!$E$3:$E$962,[49]mensuel_section_article1!$B$3:$B$962,C807,[49]mensuel_section_article1!$C$3:$C$962,D807)</f>
        <v>#VALUE!</v>
      </c>
      <c r="G807" s="60" t="e">
        <f>SUMIFS([49]mensuel_section_article1!$G$3:$G$962,[49]mensuel_section_article1!$B$3:$B$962,C807,[49]mensuel_section_article1!$C$3:$C$962,D807)</f>
        <v>#VALUE!</v>
      </c>
      <c r="H807" s="60">
        <v>0</v>
      </c>
      <c r="I807" s="60">
        <v>0</v>
      </c>
      <c r="J807" s="60">
        <v>0</v>
      </c>
      <c r="K807" s="60">
        <f t="shared" si="461"/>
        <v>0</v>
      </c>
      <c r="L807" s="61" t="e">
        <f>IF(F807&lt;&gt;0,K807/F807,0)</f>
        <v>#VALUE!</v>
      </c>
      <c r="M807" s="60" t="e">
        <f>+SUMIFS([51]section_article!$H$10:$H$936,[51]section_article!$C$10:$C$936,C807,[51]section_article!$D$10:$D$936,D807)</f>
        <v>#VALUE!</v>
      </c>
      <c r="N807" s="24" t="e">
        <f t="shared" si="463"/>
        <v>#VALUE!</v>
      </c>
      <c r="O807" s="9"/>
      <c r="Q807" s="63"/>
      <c r="AK807" s="64"/>
      <c r="AL807" s="64"/>
      <c r="AM807" s="64"/>
      <c r="AN807" s="64"/>
      <c r="AO807" s="11">
        <v>1413113</v>
      </c>
      <c r="AP807" s="65" t="str">
        <f t="shared" si="462"/>
        <v>14131134</v>
      </c>
    </row>
    <row r="808" spans="1:42" s="62" customFormat="1" ht="27.75" hidden="1" customHeight="1" thickTop="1" thickBot="1" x14ac:dyDescent="0.3">
      <c r="A808" s="56" t="s">
        <v>22</v>
      </c>
      <c r="B808" s="56" t="s">
        <v>22</v>
      </c>
      <c r="C808" s="57">
        <f t="shared" si="459"/>
        <v>1413113</v>
      </c>
      <c r="D808" s="58">
        <v>5</v>
      </c>
      <c r="E808" s="59" t="str">
        <f t="shared" si="460"/>
        <v>IMMOBILISATION INCORPORELLE</v>
      </c>
      <c r="F808" s="60" t="e">
        <f>SUMIFS([49]mensuel_section_article1!$E$3:$E$962,[49]mensuel_section_article1!$B$3:$B$962,C808,[49]mensuel_section_article1!$C$3:$C$962,D808)</f>
        <v>#VALUE!</v>
      </c>
      <c r="G808" s="60" t="e">
        <f>SUMIFS([49]mensuel_section_article1!$G$3:$G$962,[49]mensuel_section_article1!$B$3:$B$962,C808,[49]mensuel_section_article1!$C$3:$C$962,D808)</f>
        <v>#VALUE!</v>
      </c>
      <c r="H808" s="60">
        <v>0</v>
      </c>
      <c r="I808" s="60">
        <v>0</v>
      </c>
      <c r="J808" s="60">
        <v>0</v>
      </c>
      <c r="K808" s="60">
        <f t="shared" si="461"/>
        <v>0</v>
      </c>
      <c r="L808" s="61" t="e">
        <f>IF(F808&lt;&gt;0,K808/F808,0)</f>
        <v>#VALUE!</v>
      </c>
      <c r="M808" s="60" t="e">
        <f>+SUMIFS([51]section_article!$H$10:$H$936,[51]section_article!$C$10:$C$936,C808,[51]section_article!$D$10:$D$936,D808)</f>
        <v>#VALUE!</v>
      </c>
      <c r="N808" s="24" t="e">
        <f t="shared" si="463"/>
        <v>#VALUE!</v>
      </c>
      <c r="O808" s="9"/>
      <c r="Q808" s="63"/>
      <c r="AK808" s="64"/>
      <c r="AL808" s="64"/>
      <c r="AM808" s="64"/>
      <c r="AN808" s="64"/>
      <c r="AO808" s="11">
        <v>1413113</v>
      </c>
      <c r="AP808" s="65" t="str">
        <f t="shared" si="462"/>
        <v>14131135</v>
      </c>
    </row>
    <row r="809" spans="1:42" s="62" customFormat="1" ht="27.75" hidden="1" customHeight="1" thickTop="1" thickBot="1" x14ac:dyDescent="0.3">
      <c r="A809" s="56" t="s">
        <v>22</v>
      </c>
      <c r="B809" s="56" t="s">
        <v>22</v>
      </c>
      <c r="C809" s="57">
        <f t="shared" si="459"/>
        <v>1413113</v>
      </c>
      <c r="D809" s="58">
        <v>7</v>
      </c>
      <c r="E809" s="59" t="str">
        <f t="shared" si="460"/>
        <v>SUBVENTIONS,QUOTES-PARTS ET CONTRIB.,ALLOC, INDEMNISATIONS</v>
      </c>
      <c r="F809" s="60" t="e">
        <f>SUMIFS([49]mensuel_section_article1!$E$3:$E$962,[49]mensuel_section_article1!$B$3:$B$962,C809,[49]mensuel_section_article1!$C$3:$C$962,D809)</f>
        <v>#VALUE!</v>
      </c>
      <c r="G809" s="60" t="e">
        <f>SUMIFS([49]mensuel_section_article1!$G$3:$G$962,[49]mensuel_section_article1!$B$3:$B$962,C809,[49]mensuel_section_article1!$C$3:$C$962,D809)</f>
        <v>#VALUE!</v>
      </c>
      <c r="H809" s="60">
        <v>0</v>
      </c>
      <c r="I809" s="60">
        <v>0</v>
      </c>
      <c r="J809" s="60">
        <v>0</v>
      </c>
      <c r="K809" s="60">
        <f t="shared" si="461"/>
        <v>0</v>
      </c>
      <c r="L809" s="61" t="e">
        <f>IF(F809&lt;&gt;0,K809/F809,0)</f>
        <v>#VALUE!</v>
      </c>
      <c r="M809" s="60" t="e">
        <f>+SUMIFS([51]section_article!$H$10:$H$936,[51]section_article!$C$10:$C$936,C809,[51]section_article!$D$10:$D$936,D809)</f>
        <v>#VALUE!</v>
      </c>
      <c r="N809" s="24" t="e">
        <f t="shared" si="463"/>
        <v>#VALUE!</v>
      </c>
      <c r="O809" s="9"/>
      <c r="Q809" s="63"/>
      <c r="AK809" s="64"/>
      <c r="AL809" s="64"/>
      <c r="AM809" s="64"/>
      <c r="AN809" s="64"/>
      <c r="AO809" s="11">
        <v>1413113</v>
      </c>
      <c r="AP809" s="65" t="str">
        <f t="shared" si="462"/>
        <v>14131137</v>
      </c>
    </row>
    <row r="810" spans="1:42" s="62" customFormat="1" ht="27.75" hidden="1" customHeight="1" thickTop="1" thickBot="1" x14ac:dyDescent="0.3">
      <c r="A810" s="56" t="s">
        <v>22</v>
      </c>
      <c r="B810" s="56" t="s">
        <v>22</v>
      </c>
      <c r="C810" s="57">
        <f t="shared" si="459"/>
        <v>1413113</v>
      </c>
      <c r="D810" s="58">
        <v>9</v>
      </c>
      <c r="E810" s="59" t="str">
        <f t="shared" si="460"/>
        <v>AUTRES DEPENSES PUBLIQUES</v>
      </c>
      <c r="F810" s="60" t="e">
        <f>SUMIFS([49]mensuel_section_article1!$E$3:$E$962,[49]mensuel_section_article1!$B$3:$B$962,C810,[49]mensuel_section_article1!$C$3:$C$962,D810)</f>
        <v>#VALUE!</v>
      </c>
      <c r="G810" s="60" t="e">
        <f>SUMIFS([49]mensuel_section_article1!$G$3:$G$962,[49]mensuel_section_article1!$B$3:$B$962,C810,[49]mensuel_section_article1!$C$3:$C$962,D810)</f>
        <v>#VALUE!</v>
      </c>
      <c r="H810" s="60">
        <v>0</v>
      </c>
      <c r="I810" s="60">
        <v>0</v>
      </c>
      <c r="J810" s="60">
        <v>0</v>
      </c>
      <c r="K810" s="60">
        <f t="shared" si="461"/>
        <v>0</v>
      </c>
      <c r="L810" s="61" t="e">
        <f>IF(F810&lt;&gt;0,K810/F810,0)</f>
        <v>#VALUE!</v>
      </c>
      <c r="M810" s="60" t="e">
        <f>+SUMIFS([51]section_article!$H$10:$H$936,[51]section_article!$C$10:$C$936,C810,[51]section_article!$D$10:$D$936,D810)</f>
        <v>#VALUE!</v>
      </c>
      <c r="N810" s="24" t="e">
        <f t="shared" si="463"/>
        <v>#VALUE!</v>
      </c>
      <c r="O810" s="9"/>
      <c r="Q810" s="63"/>
      <c r="AK810" s="64"/>
      <c r="AL810" s="64"/>
      <c r="AM810" s="64"/>
      <c r="AN810" s="64"/>
      <c r="AO810" s="11">
        <v>1413113</v>
      </c>
      <c r="AP810" s="65" t="str">
        <f t="shared" si="462"/>
        <v>14131139</v>
      </c>
    </row>
    <row r="811" spans="1:42" s="1" customFormat="1" ht="27.75" customHeight="1" thickTop="1" thickBot="1" x14ac:dyDescent="0.3">
      <c r="A811" s="50" t="s">
        <v>20</v>
      </c>
      <c r="B811" s="50" t="s">
        <v>20</v>
      </c>
      <c r="C811" s="50" t="s">
        <v>20</v>
      </c>
      <c r="D811" s="51">
        <v>1413114</v>
      </c>
      <c r="E811" s="67" t="s">
        <v>125</v>
      </c>
      <c r="F811" s="68" t="e">
        <f>SUMIF($B$812:$B$818,"article",F812:F818)</f>
        <v>#VALUE!</v>
      </c>
      <c r="G811" s="68" t="e">
        <f>SUMIF($B$812:$B$818,"article",G812:G818)</f>
        <v>#VALUE!</v>
      </c>
      <c r="H811" s="68">
        <f>SUMIF($B$812:$B$818,"article",H812:H818)</f>
        <v>73198883.50999999</v>
      </c>
      <c r="I811" s="68">
        <v>73198883.5</v>
      </c>
      <c r="J811" s="68">
        <f>SUMIF($B$812:$B$818,"article",J812:J818)</f>
        <v>67113484.209999993</v>
      </c>
      <c r="K811" s="68">
        <f>SUMIF($B$812:$B$818,"article",K812:K818)</f>
        <v>6085399.299999997</v>
      </c>
      <c r="L811" s="69">
        <f>+J811/H811</f>
        <v>0.91686486175477466</v>
      </c>
      <c r="M811" s="68"/>
      <c r="N811" s="68"/>
      <c r="O811" s="9"/>
      <c r="Q811" s="23"/>
      <c r="AK811" s="70"/>
      <c r="AL811" s="70"/>
      <c r="AM811" s="70"/>
      <c r="AN811" s="70"/>
      <c r="AO811" s="11">
        <v>1413114</v>
      </c>
    </row>
    <row r="812" spans="1:42" s="62" customFormat="1" ht="27.75" customHeight="1" thickTop="1" thickBot="1" x14ac:dyDescent="0.3">
      <c r="A812" s="56" t="s">
        <v>22</v>
      </c>
      <c r="B812" s="56" t="s">
        <v>22</v>
      </c>
      <c r="C812" s="57">
        <f t="shared" ref="C812:C818" si="464">IF(A811="SECTION",D811,C811)</f>
        <v>1413114</v>
      </c>
      <c r="D812" s="58">
        <v>1</v>
      </c>
      <c r="E812" s="59" t="str">
        <f t="shared" ref="E812:E818" si="465">IF(D812=1, "DEPENSES DE PERSONNEL",  +IF(D812=2,"DEPENSES DE SERVICES ET CHARGES DIVERSES", +IF(D812=3,"ACHATS DE BIENS DE CONSOMMATION ET PETITS MATERIELS",+IF(D812=4,"IMMOBILISATION CORPORELLE",+IF(D812=5,"IMMOBILISATION INCORPORELLE",+IF(D812=7,"SUBVENTIONS,QUOTES-PARTS ET CONTRIB.,ALLOC, INDEMNISATIONS",+IF(D812=8,"AMORTISSEMENT DE LA DETTE",+IF(D812=9,"AUTRES DEPENSES PUBLIQUES",0))))))))</f>
        <v>DEPENSES DE PERSONNEL</v>
      </c>
      <c r="F812" s="60" t="e">
        <f>SUMIFS([49]mensuel_section_article1!$E$3:$E$962,[49]mensuel_section_article1!$B$3:$B$962,C812,[49]mensuel_section_article1!$C$3:$C$962,D812)</f>
        <v>#VALUE!</v>
      </c>
      <c r="G812" s="60" t="e">
        <f>SUMIFS([49]mensuel_section_article1!$G$3:$G$962,[49]mensuel_section_article1!$B$3:$B$962,C812,[49]mensuel_section_article1!$C$3:$C$962,D812)</f>
        <v>#VALUE!</v>
      </c>
      <c r="H812" s="60">
        <v>56685351.599999994</v>
      </c>
      <c r="I812" s="60">
        <v>56685351.600000001</v>
      </c>
      <c r="J812" s="60">
        <v>52589145.939999998</v>
      </c>
      <c r="K812" s="60">
        <f t="shared" ref="K812:K818" si="466">+H812-J812</f>
        <v>4096205.6599999964</v>
      </c>
      <c r="L812" s="61">
        <f>+J812/H812</f>
        <v>0.92773784506260348</v>
      </c>
      <c r="M812" s="60"/>
      <c r="N812" s="24"/>
      <c r="O812" s="9"/>
      <c r="Q812" s="63"/>
      <c r="AK812" s="64"/>
      <c r="AL812" s="64"/>
      <c r="AM812" s="64"/>
      <c r="AN812" s="64"/>
      <c r="AO812" s="11">
        <v>1413114</v>
      </c>
      <c r="AP812" s="65" t="str">
        <f t="shared" ref="AP812:AP818" si="467">CONCATENATE(AO812,D812)</f>
        <v>14131141</v>
      </c>
    </row>
    <row r="813" spans="1:42" s="62" customFormat="1" ht="27.75" customHeight="1" thickTop="1" thickBot="1" x14ac:dyDescent="0.3">
      <c r="A813" s="56" t="s">
        <v>22</v>
      </c>
      <c r="B813" s="56" t="s">
        <v>22</v>
      </c>
      <c r="C813" s="57">
        <f t="shared" si="464"/>
        <v>1413114</v>
      </c>
      <c r="D813" s="58">
        <v>2</v>
      </c>
      <c r="E813" s="59" t="str">
        <f t="shared" si="465"/>
        <v>DEPENSES DE SERVICES ET CHARGES DIVERSES</v>
      </c>
      <c r="F813" s="60" t="e">
        <f>SUMIFS([49]mensuel_section_article1!$E$3:$E$962,[49]mensuel_section_article1!$B$3:$B$962,C813,[49]mensuel_section_article1!$C$3:$C$962,D813)</f>
        <v>#VALUE!</v>
      </c>
      <c r="G813" s="60" t="e">
        <f>SUMIFS([49]mensuel_section_article1!$G$3:$G$962,[49]mensuel_section_article1!$B$3:$B$962,C813,[49]mensuel_section_article1!$C$3:$C$962,D813)</f>
        <v>#VALUE!</v>
      </c>
      <c r="H813" s="60">
        <v>16513531.91</v>
      </c>
      <c r="I813" s="60">
        <v>16513531.9</v>
      </c>
      <c r="J813" s="60">
        <v>14524338.27</v>
      </c>
      <c r="K813" s="60">
        <f t="shared" si="466"/>
        <v>1989193.6400000006</v>
      </c>
      <c r="L813" s="61">
        <f>+J813/H813</f>
        <v>0.87954159952932798</v>
      </c>
      <c r="M813" s="60"/>
      <c r="N813" s="24"/>
      <c r="O813" s="9"/>
      <c r="Q813" s="63"/>
      <c r="AK813" s="64"/>
      <c r="AL813" s="64"/>
      <c r="AM813" s="64"/>
      <c r="AN813" s="64"/>
      <c r="AO813" s="11">
        <v>1413114</v>
      </c>
      <c r="AP813" s="65" t="str">
        <f t="shared" si="467"/>
        <v>14131142</v>
      </c>
    </row>
    <row r="814" spans="1:42" s="62" customFormat="1" ht="27.75" hidden="1" customHeight="1" thickTop="1" thickBot="1" x14ac:dyDescent="0.3">
      <c r="A814" s="56" t="s">
        <v>22</v>
      </c>
      <c r="B814" s="56" t="s">
        <v>22</v>
      </c>
      <c r="C814" s="57">
        <f t="shared" si="464"/>
        <v>1413114</v>
      </c>
      <c r="D814" s="58">
        <v>3</v>
      </c>
      <c r="E814" s="59" t="str">
        <f t="shared" si="465"/>
        <v>ACHATS DE BIENS DE CONSOMMATION ET PETITS MATERIELS</v>
      </c>
      <c r="F814" s="60" t="e">
        <f>SUMIFS([49]mensuel_section_article1!$E$3:$E$962,[49]mensuel_section_article1!$B$3:$B$962,C814,[49]mensuel_section_article1!$C$3:$C$962,D814)</f>
        <v>#VALUE!</v>
      </c>
      <c r="G814" s="60" t="e">
        <f>SUMIFS([49]mensuel_section_article1!$G$3:$G$962,[49]mensuel_section_article1!$B$3:$B$962,C814,[49]mensuel_section_article1!$C$3:$C$962,D814)</f>
        <v>#VALUE!</v>
      </c>
      <c r="H814" s="60">
        <v>0</v>
      </c>
      <c r="I814" s="60">
        <v>0</v>
      </c>
      <c r="J814" s="60">
        <v>0</v>
      </c>
      <c r="K814" s="60">
        <f t="shared" si="466"/>
        <v>0</v>
      </c>
      <c r="L814" s="61" t="e">
        <f>IF(F814&lt;&gt;0,K814/F814,0)</f>
        <v>#VALUE!</v>
      </c>
      <c r="M814" s="60" t="e">
        <f>+SUMIFS([51]section_article!$H$10:$H$936,[51]section_article!$C$10:$C$936,C814,[51]section_article!$D$10:$D$936,D814)</f>
        <v>#VALUE!</v>
      </c>
      <c r="N814" s="24" t="e">
        <f t="shared" ref="N812:N818" si="468">+J814-M814</f>
        <v>#VALUE!</v>
      </c>
      <c r="O814" s="9"/>
      <c r="Q814" s="63"/>
      <c r="AK814" s="64"/>
      <c r="AL814" s="64"/>
      <c r="AM814" s="64"/>
      <c r="AN814" s="64"/>
      <c r="AO814" s="11">
        <v>1413114</v>
      </c>
      <c r="AP814" s="65" t="str">
        <f t="shared" si="467"/>
        <v>14131143</v>
      </c>
    </row>
    <row r="815" spans="1:42" s="62" customFormat="1" ht="27.75" hidden="1" customHeight="1" thickTop="1" thickBot="1" x14ac:dyDescent="0.3">
      <c r="A815" s="56" t="s">
        <v>22</v>
      </c>
      <c r="B815" s="56" t="s">
        <v>22</v>
      </c>
      <c r="C815" s="57">
        <f t="shared" si="464"/>
        <v>1413114</v>
      </c>
      <c r="D815" s="58">
        <v>4</v>
      </c>
      <c r="E815" s="59" t="str">
        <f t="shared" si="465"/>
        <v>IMMOBILISATION CORPORELLE</v>
      </c>
      <c r="F815" s="60" t="e">
        <f>SUMIFS([49]mensuel_section_article1!$E$3:$E$962,[49]mensuel_section_article1!$B$3:$B$962,C815,[49]mensuel_section_article1!$C$3:$C$962,D815)</f>
        <v>#VALUE!</v>
      </c>
      <c r="G815" s="60" t="e">
        <f>SUMIFS([49]mensuel_section_article1!$G$3:$G$962,[49]mensuel_section_article1!$B$3:$B$962,C815,[49]mensuel_section_article1!$C$3:$C$962,D815)</f>
        <v>#VALUE!</v>
      </c>
      <c r="H815" s="60">
        <v>0</v>
      </c>
      <c r="I815" s="60">
        <v>0</v>
      </c>
      <c r="J815" s="60">
        <v>0</v>
      </c>
      <c r="K815" s="60">
        <f t="shared" si="466"/>
        <v>0</v>
      </c>
      <c r="L815" s="61" t="e">
        <f>IF(F815&lt;&gt;0,K815/F815,0)</f>
        <v>#VALUE!</v>
      </c>
      <c r="M815" s="60" t="e">
        <f>+SUMIFS([51]section_article!$H$10:$H$936,[51]section_article!$C$10:$C$936,C815,[51]section_article!$D$10:$D$936,D815)</f>
        <v>#VALUE!</v>
      </c>
      <c r="N815" s="24" t="e">
        <f t="shared" si="468"/>
        <v>#VALUE!</v>
      </c>
      <c r="O815" s="9"/>
      <c r="Q815" s="63"/>
      <c r="AK815" s="64"/>
      <c r="AL815" s="64"/>
      <c r="AM815" s="64"/>
      <c r="AN815" s="64"/>
      <c r="AO815" s="11">
        <v>1413114</v>
      </c>
      <c r="AP815" s="65" t="str">
        <f t="shared" si="467"/>
        <v>14131144</v>
      </c>
    </row>
    <row r="816" spans="1:42" s="62" customFormat="1" ht="27.75" hidden="1" customHeight="1" thickTop="1" thickBot="1" x14ac:dyDescent="0.3">
      <c r="A816" s="56" t="s">
        <v>22</v>
      </c>
      <c r="B816" s="56" t="s">
        <v>22</v>
      </c>
      <c r="C816" s="57">
        <f t="shared" si="464"/>
        <v>1413114</v>
      </c>
      <c r="D816" s="58">
        <v>5</v>
      </c>
      <c r="E816" s="59" t="str">
        <f t="shared" si="465"/>
        <v>IMMOBILISATION INCORPORELLE</v>
      </c>
      <c r="F816" s="60" t="e">
        <f>SUMIFS([49]mensuel_section_article1!$E$3:$E$962,[49]mensuel_section_article1!$B$3:$B$962,C816,[49]mensuel_section_article1!$C$3:$C$962,D816)</f>
        <v>#VALUE!</v>
      </c>
      <c r="G816" s="60" t="e">
        <f>SUMIFS([49]mensuel_section_article1!$G$3:$G$962,[49]mensuel_section_article1!$B$3:$B$962,C816,[49]mensuel_section_article1!$C$3:$C$962,D816)</f>
        <v>#VALUE!</v>
      </c>
      <c r="H816" s="60">
        <v>0</v>
      </c>
      <c r="I816" s="60">
        <v>0</v>
      </c>
      <c r="J816" s="60">
        <v>0</v>
      </c>
      <c r="K816" s="60">
        <f t="shared" si="466"/>
        <v>0</v>
      </c>
      <c r="L816" s="61" t="e">
        <f>IF(F816&lt;&gt;0,K816/F816,0)</f>
        <v>#VALUE!</v>
      </c>
      <c r="M816" s="60" t="e">
        <f>+SUMIFS([51]section_article!$H$10:$H$936,[51]section_article!$C$10:$C$936,C816,[51]section_article!$D$10:$D$936,D816)</f>
        <v>#VALUE!</v>
      </c>
      <c r="N816" s="24" t="e">
        <f t="shared" si="468"/>
        <v>#VALUE!</v>
      </c>
      <c r="O816" s="9"/>
      <c r="Q816" s="63"/>
      <c r="AK816" s="64"/>
      <c r="AL816" s="64"/>
      <c r="AM816" s="64"/>
      <c r="AN816" s="64"/>
      <c r="AO816" s="11">
        <v>1413114</v>
      </c>
      <c r="AP816" s="65" t="str">
        <f t="shared" si="467"/>
        <v>14131145</v>
      </c>
    </row>
    <row r="817" spans="1:42" s="62" customFormat="1" ht="27.75" hidden="1" customHeight="1" thickTop="1" thickBot="1" x14ac:dyDescent="0.3">
      <c r="A817" s="56" t="s">
        <v>22</v>
      </c>
      <c r="B817" s="56" t="s">
        <v>22</v>
      </c>
      <c r="C817" s="57">
        <f t="shared" si="464"/>
        <v>1413114</v>
      </c>
      <c r="D817" s="58">
        <v>7</v>
      </c>
      <c r="E817" s="59" t="str">
        <f t="shared" si="465"/>
        <v>SUBVENTIONS,QUOTES-PARTS ET CONTRIB.,ALLOC, INDEMNISATIONS</v>
      </c>
      <c r="F817" s="60" t="e">
        <f>SUMIFS([49]mensuel_section_article1!$E$3:$E$962,[49]mensuel_section_article1!$B$3:$B$962,C817,[49]mensuel_section_article1!$C$3:$C$962,D817)</f>
        <v>#VALUE!</v>
      </c>
      <c r="G817" s="60" t="e">
        <f>SUMIFS([49]mensuel_section_article1!$G$3:$G$962,[49]mensuel_section_article1!$B$3:$B$962,C817,[49]mensuel_section_article1!$C$3:$C$962,D817)</f>
        <v>#VALUE!</v>
      </c>
      <c r="H817" s="60">
        <v>0</v>
      </c>
      <c r="I817" s="60">
        <v>0</v>
      </c>
      <c r="J817" s="60">
        <v>0</v>
      </c>
      <c r="K817" s="60">
        <f t="shared" si="466"/>
        <v>0</v>
      </c>
      <c r="L817" s="61" t="e">
        <f>IF(F817&lt;&gt;0,K817/F817,0)</f>
        <v>#VALUE!</v>
      </c>
      <c r="M817" s="60" t="e">
        <f>+SUMIFS([51]section_article!$H$10:$H$936,[51]section_article!$C$10:$C$936,C817,[51]section_article!$D$10:$D$936,D817)</f>
        <v>#VALUE!</v>
      </c>
      <c r="N817" s="24" t="e">
        <f t="shared" si="468"/>
        <v>#VALUE!</v>
      </c>
      <c r="O817" s="9"/>
      <c r="Q817" s="63"/>
      <c r="AK817" s="64"/>
      <c r="AL817" s="64"/>
      <c r="AM817" s="64"/>
      <c r="AN817" s="64"/>
      <c r="AO817" s="11">
        <v>1413114</v>
      </c>
      <c r="AP817" s="65" t="str">
        <f t="shared" si="467"/>
        <v>14131147</v>
      </c>
    </row>
    <row r="818" spans="1:42" s="62" customFormat="1" ht="27.75" hidden="1" customHeight="1" thickTop="1" thickBot="1" x14ac:dyDescent="0.3">
      <c r="A818" s="56" t="s">
        <v>22</v>
      </c>
      <c r="B818" s="56" t="s">
        <v>22</v>
      </c>
      <c r="C818" s="57">
        <f t="shared" si="464"/>
        <v>1413114</v>
      </c>
      <c r="D818" s="58">
        <v>9</v>
      </c>
      <c r="E818" s="59" t="str">
        <f t="shared" si="465"/>
        <v>AUTRES DEPENSES PUBLIQUES</v>
      </c>
      <c r="F818" s="60" t="e">
        <f>SUMIFS([49]mensuel_section_article1!$E$3:$E$962,[49]mensuel_section_article1!$B$3:$B$962,C818,[49]mensuel_section_article1!$C$3:$C$962,D818)</f>
        <v>#VALUE!</v>
      </c>
      <c r="G818" s="60" t="e">
        <f>SUMIFS([49]mensuel_section_article1!$G$3:$G$962,[49]mensuel_section_article1!$B$3:$B$962,C818,[49]mensuel_section_article1!$C$3:$C$962,D818)</f>
        <v>#VALUE!</v>
      </c>
      <c r="H818" s="60">
        <v>0</v>
      </c>
      <c r="I818" s="60">
        <v>0</v>
      </c>
      <c r="J818" s="60">
        <v>0</v>
      </c>
      <c r="K818" s="60">
        <f t="shared" si="466"/>
        <v>0</v>
      </c>
      <c r="L818" s="61" t="e">
        <f>IF(F818&lt;&gt;0,K818/F818,0)</f>
        <v>#VALUE!</v>
      </c>
      <c r="M818" s="60" t="e">
        <f>+SUMIFS([51]section_article!$H$10:$H$936,[51]section_article!$C$10:$C$936,C818,[51]section_article!$D$10:$D$936,D818)</f>
        <v>#VALUE!</v>
      </c>
      <c r="N818" s="24" t="e">
        <f t="shared" si="468"/>
        <v>#VALUE!</v>
      </c>
      <c r="O818" s="9"/>
      <c r="Q818" s="63"/>
      <c r="AK818" s="64"/>
      <c r="AL818" s="64"/>
      <c r="AM818" s="64"/>
      <c r="AN818" s="64"/>
      <c r="AO818" s="11">
        <v>1413114</v>
      </c>
      <c r="AP818" s="65" t="str">
        <f t="shared" si="467"/>
        <v>14131149</v>
      </c>
    </row>
    <row r="819" spans="1:42" s="1" customFormat="1" ht="27.75" customHeight="1" thickTop="1" x14ac:dyDescent="0.25">
      <c r="A819" s="31" t="s">
        <v>14</v>
      </c>
      <c r="B819" s="31" t="s">
        <v>14</v>
      </c>
      <c r="C819" s="31" t="s">
        <v>14</v>
      </c>
      <c r="D819" s="87">
        <v>15</v>
      </c>
      <c r="E819" s="88" t="s">
        <v>126</v>
      </c>
      <c r="F819" s="89" t="e">
        <f>SUMIF($B$820:$B$849,"MIN",F820:F849)</f>
        <v>#VALUE!</v>
      </c>
      <c r="G819" s="89" t="e">
        <f>SUMIF($B$820:$B$849,"MIN",G820:G849)</f>
        <v>#VALUE!</v>
      </c>
      <c r="H819" s="89">
        <f>SUMIF($B$820:$B$849,"MIN",H820:H849)</f>
        <v>31572634194.674999</v>
      </c>
      <c r="I819" s="89">
        <v>31572634194.620003</v>
      </c>
      <c r="J819" s="89">
        <f>SUMIF($B$820:$B$849,"MIN",J820:J849)</f>
        <v>23166772695.889999</v>
      </c>
      <c r="K819" s="89">
        <f>SUMIF($B$820:$B$849,"MIN",K820:K849)</f>
        <v>8405861498.7849989</v>
      </c>
      <c r="L819" s="90">
        <f t="shared" ref="L819:L826" si="469">+J819/H819</f>
        <v>0.73376116015676884</v>
      </c>
      <c r="M819" s="89"/>
      <c r="N819" s="89"/>
      <c r="O819" s="9"/>
      <c r="Q819" s="23"/>
      <c r="AK819" s="91"/>
      <c r="AL819" s="91"/>
      <c r="AM819" s="91"/>
      <c r="AN819" s="91"/>
      <c r="AO819" s="11"/>
    </row>
    <row r="820" spans="1:42" s="1" customFormat="1" ht="27.75" customHeight="1" x14ac:dyDescent="0.25">
      <c r="A820" s="37" t="s">
        <v>16</v>
      </c>
      <c r="B820" s="37" t="s">
        <v>16</v>
      </c>
      <c r="C820" s="37" t="s">
        <v>16</v>
      </c>
      <c r="D820" s="73">
        <v>1511</v>
      </c>
      <c r="E820" s="74" t="s">
        <v>127</v>
      </c>
      <c r="F820" s="75" t="e">
        <f>SUMIF($B$821:$B$830,"section",F821:F830)</f>
        <v>#VALUE!</v>
      </c>
      <c r="G820" s="75" t="e">
        <f>SUMIF($B$821:$B$830,"section",G821:G830)</f>
        <v>#VALUE!</v>
      </c>
      <c r="H820" s="75">
        <f>SUMIF($B$821:$B$830,"section",H821:H830)</f>
        <v>17172601571.32</v>
      </c>
      <c r="I820" s="75">
        <v>17172601571.32</v>
      </c>
      <c r="J820" s="75">
        <f>SUMIF($B$821:$B$830,"section",J821:J830)</f>
        <v>9788839371</v>
      </c>
      <c r="K820" s="75">
        <f>SUMIF($B$821:$B$830,"section",K821:K830)</f>
        <v>7383762200.3199997</v>
      </c>
      <c r="L820" s="76">
        <f t="shared" si="469"/>
        <v>0.57002658160708519</v>
      </c>
      <c r="M820" s="75"/>
      <c r="N820" s="75"/>
      <c r="O820" s="9"/>
      <c r="P820" s="110"/>
      <c r="Q820" s="23"/>
      <c r="AK820" s="77"/>
      <c r="AL820" s="77"/>
      <c r="AM820" s="77"/>
      <c r="AN820" s="77"/>
      <c r="AO820" s="11"/>
    </row>
    <row r="821" spans="1:42" s="1" customFormat="1" ht="27.75" customHeight="1" thickBot="1" x14ac:dyDescent="0.3">
      <c r="A821" s="50" t="s">
        <v>20</v>
      </c>
      <c r="B821" s="50" t="s">
        <v>20</v>
      </c>
      <c r="C821" s="50" t="s">
        <v>20</v>
      </c>
      <c r="D821" s="51">
        <v>1511111</v>
      </c>
      <c r="E821" s="67" t="s">
        <v>128</v>
      </c>
      <c r="F821" s="68" t="e">
        <f>SUMIF($B$822:$B$822,"article",F822:F822)</f>
        <v>#VALUE!</v>
      </c>
      <c r="G821" s="68" t="e">
        <f>SUMIF($B$822:$B$822,"article",G822:G822)</f>
        <v>#VALUE!</v>
      </c>
      <c r="H821" s="68">
        <f>SUMIF($B$822:$B$822,"article",H822:H822)</f>
        <v>2004889107</v>
      </c>
      <c r="I821" s="68">
        <v>2004889107</v>
      </c>
      <c r="J821" s="68">
        <f>SUMIF($B$822:$B$822,"article",J822:J822)</f>
        <v>1398025348</v>
      </c>
      <c r="K821" s="68">
        <f>SUMIF($B$822:$B$822,"article",K822:K822)</f>
        <v>606863759</v>
      </c>
      <c r="L821" s="69">
        <f t="shared" si="469"/>
        <v>0.69730806712393401</v>
      </c>
      <c r="M821" s="68"/>
      <c r="N821" s="68"/>
      <c r="O821" s="9"/>
      <c r="P821" s="8"/>
      <c r="Q821" s="23"/>
      <c r="AK821" s="70"/>
      <c r="AL821" s="70"/>
      <c r="AM821" s="70"/>
      <c r="AN821" s="70"/>
      <c r="AO821" s="11">
        <v>1511111</v>
      </c>
    </row>
    <row r="822" spans="1:42" s="62" customFormat="1" ht="27.75" customHeight="1" thickTop="1" thickBot="1" x14ac:dyDescent="0.3">
      <c r="A822" s="56" t="s">
        <v>22</v>
      </c>
      <c r="B822" s="56" t="s">
        <v>22</v>
      </c>
      <c r="C822" s="57">
        <f>IF(A821="SECTION",D821,C821)</f>
        <v>1511111</v>
      </c>
      <c r="D822" s="58">
        <v>7</v>
      </c>
      <c r="E822" s="59" t="str">
        <f>IF(D822=1, "DEPENSES DE PERSONNEL",  +IF(D822=2,"DEPENSES DE SERVICES ET CHARGES DIVERSES", +IF(D822=3,"ACHATS DE BIENS DE CONSOMMATION ET PETITS MATERIELS",+IF(D822=4,"IMMOBILISATION CORPORELLE",+IF(D822=5,"IMMOBILISATION INCORPORELLE",+IF(D822=7,"SUBVENTIONS,QUOTES-PARTS ET CONTRIB.,ALLOC, INDEMNISATIONS",+IF(D822=8,"AMORTISSEMENT DE LA DETTE",+IF(D822=9,"AUTRES DEPENSES PUBLIQUES",0))))))))</f>
        <v>SUBVENTIONS,QUOTES-PARTS ET CONTRIB.,ALLOC, INDEMNISATIONS</v>
      </c>
      <c r="F822" s="60" t="e">
        <f>SUMIFS([49]mensuel_section_article1!$E$3:$E$962,[49]mensuel_section_article1!$B$3:$B$962,C822,[49]mensuel_section_article1!$C$3:$C$962,D822)</f>
        <v>#VALUE!</v>
      </c>
      <c r="G822" s="60" t="e">
        <f>SUMIFS([49]mensuel_section_article1!$G$3:$G$962,[49]mensuel_section_article1!$B$3:$B$962,C822,[49]mensuel_section_article1!$C$3:$C$962,D822)</f>
        <v>#VALUE!</v>
      </c>
      <c r="H822" s="60">
        <v>2004889107</v>
      </c>
      <c r="I822" s="60">
        <v>2004889107</v>
      </c>
      <c r="J822" s="60">
        <v>1398025348</v>
      </c>
      <c r="K822" s="60">
        <f>+H822-J822</f>
        <v>606863759</v>
      </c>
      <c r="L822" s="61">
        <f t="shared" si="469"/>
        <v>0.69730806712393401</v>
      </c>
      <c r="M822" s="60"/>
      <c r="N822" s="24"/>
      <c r="O822" s="9"/>
      <c r="Q822" s="63"/>
      <c r="AK822" s="64"/>
      <c r="AL822" s="64"/>
      <c r="AM822" s="64"/>
      <c r="AN822" s="64"/>
      <c r="AO822" s="11">
        <v>1511111</v>
      </c>
      <c r="AP822" s="65" t="str">
        <f>CONCATENATE(AO822,D822)</f>
        <v>15111117</v>
      </c>
    </row>
    <row r="823" spans="1:42" s="1" customFormat="1" ht="27.75" customHeight="1" thickTop="1" thickBot="1" x14ac:dyDescent="0.3">
      <c r="A823" s="50" t="s">
        <v>20</v>
      </c>
      <c r="B823" s="50" t="s">
        <v>20</v>
      </c>
      <c r="C823" s="50" t="s">
        <v>20</v>
      </c>
      <c r="D823" s="51">
        <v>1511113</v>
      </c>
      <c r="E823" s="67" t="s">
        <v>129</v>
      </c>
      <c r="F823" s="68" t="e">
        <f>SUMIF($B$824:$B$824,"article",F824:F824)</f>
        <v>#VALUE!</v>
      </c>
      <c r="G823" s="68" t="e">
        <f>SUMIF($B$824:$B$824,"article",G824:G824)</f>
        <v>#VALUE!</v>
      </c>
      <c r="H823" s="68">
        <f>SUMIF($B$824:$B$824,"article",H824:H824)</f>
        <v>461075000</v>
      </c>
      <c r="I823" s="68">
        <v>461075000</v>
      </c>
      <c r="J823" s="68">
        <f>SUMIF($B$824:$B$824,"article",J824:J824)</f>
        <v>419003147</v>
      </c>
      <c r="K823" s="68">
        <f>SUMIF($B$824:$B$824,"article",K824:K824)</f>
        <v>42071853</v>
      </c>
      <c r="L823" s="69">
        <f t="shared" si="469"/>
        <v>0.90875269099387301</v>
      </c>
      <c r="M823" s="68"/>
      <c r="N823" s="68"/>
      <c r="O823" s="70"/>
      <c r="P823" s="70"/>
      <c r="Q823" s="70"/>
      <c r="R823" s="70"/>
      <c r="S823" s="70"/>
      <c r="T823" s="70"/>
      <c r="U823" s="70"/>
      <c r="V823" s="70"/>
      <c r="W823" s="70" t="e">
        <f>SUMIF($B$824:$B$824,"article",W824:W824)</f>
        <v>#REF!</v>
      </c>
      <c r="X823" s="70" t="e">
        <f>SUMIF($B$824:$B$824,"article",X824:X824)</f>
        <v>#REF!</v>
      </c>
      <c r="Y823" s="70" t="e">
        <f>SUMIF($B$824:$B$824,"article",Y824:Y824)</f>
        <v>#REF!</v>
      </c>
      <c r="Z823" s="70" t="e">
        <f>SUMIF($B$824:$B$824,"article",Z824:Z824)</f>
        <v>#REF!</v>
      </c>
      <c r="AA823" s="70" t="e">
        <f>SUMIF($B$824:$B$824,"article",AA824:AA824)</f>
        <v>#REF!</v>
      </c>
      <c r="AB823" s="70" t="e">
        <f>SUMIF($B$824:$B$824,"article",AB824:AB824)</f>
        <v>#REF!</v>
      </c>
      <c r="AC823" s="70" t="e">
        <f>SUMIF($B$824:$B$824,"article",AG824:AG824)</f>
        <v>#REF!</v>
      </c>
      <c r="AD823" s="70" t="e">
        <f>SUMIF($B$824:$B$824,"article",AD824:AD824)</f>
        <v>#REF!</v>
      </c>
      <c r="AE823" s="70" t="e">
        <f>SUMIF($B$824:$B$824,"article",AE824:AE824)</f>
        <v>#REF!</v>
      </c>
      <c r="AF823" s="70" t="e">
        <f>SUMIF($B$824:$B$824,"article",AF824:AF824)</f>
        <v>#REF!</v>
      </c>
      <c r="AG823" s="70" t="e">
        <f>SUMIF($B$824:$B$824,"article",AG824:AG824)</f>
        <v>#REF!</v>
      </c>
      <c r="AH823" s="70" t="e">
        <f>SUMIF($B$824:$B$824,"article",AH824:AH824)</f>
        <v>#REF!</v>
      </c>
      <c r="AI823" s="70" t="e">
        <f>SUMIF($B$824:$B$824,"article",AI824:AI824)</f>
        <v>#REF!</v>
      </c>
      <c r="AJ823" s="70"/>
      <c r="AK823" s="70"/>
      <c r="AL823" s="70"/>
      <c r="AM823" s="70"/>
      <c r="AN823" s="70"/>
      <c r="AO823" s="11">
        <v>1511113</v>
      </c>
    </row>
    <row r="824" spans="1:42" s="62" customFormat="1" ht="27.75" customHeight="1" thickTop="1" thickBot="1" x14ac:dyDescent="0.3">
      <c r="A824" s="56" t="s">
        <v>22</v>
      </c>
      <c r="B824" s="56" t="s">
        <v>22</v>
      </c>
      <c r="C824" s="57">
        <f>IF(A823="SECTION",D823,C823)</f>
        <v>1511113</v>
      </c>
      <c r="D824" s="58">
        <v>7</v>
      </c>
      <c r="E824" s="59" t="str">
        <f>IF(D824=1, "DEPENSES DE PERSONNEL",  +IF(D824=2,"DEPENSES DE SERVICES ET CHARGES DIVERSES", +IF(D824=3,"ACHATS DE BIENS DE CONSOMMATION ET PETITS MATERIELS",+IF(D824=4,"IMMOBILISATION CORPORELLE",+IF(D824=5,"IMMOBILISATION INCORPORELLE",+IF(D824=7,"SUBVENTIONS,QUOTES-PARTS ET CONTRIB.,ALLOC, INDEMNISATIONS",+IF(D824=8,"AMORTISSEMENT DE LA DETTE",+IF(D824=9,"AUTRES DEPENSES PUBLIQUES",0))))))))</f>
        <v>SUBVENTIONS,QUOTES-PARTS ET CONTRIB.,ALLOC, INDEMNISATIONS</v>
      </c>
      <c r="F824" s="60" t="e">
        <f>SUMIFS([49]mensuel_section_article1!$E$3:$E$962,[49]mensuel_section_article1!$B$3:$B$962,C824,[49]mensuel_section_article1!$C$3:$C$962,D824)</f>
        <v>#VALUE!</v>
      </c>
      <c r="G824" s="60" t="e">
        <f>SUMIFS([49]mensuel_section_article1!$G$3:$G$962,[49]mensuel_section_article1!$B$3:$B$962,C824,[49]mensuel_section_article1!$C$3:$C$962,D824)</f>
        <v>#VALUE!</v>
      </c>
      <c r="H824" s="60">
        <v>461075000</v>
      </c>
      <c r="I824" s="60">
        <v>461075000</v>
      </c>
      <c r="J824" s="60">
        <v>419003147</v>
      </c>
      <c r="K824" s="60">
        <f>+H824-J824</f>
        <v>42071853</v>
      </c>
      <c r="L824" s="61">
        <f t="shared" si="469"/>
        <v>0.90875269099387301</v>
      </c>
      <c r="M824" s="60"/>
      <c r="N824" s="24"/>
      <c r="O824" s="64"/>
      <c r="P824" s="64"/>
      <c r="Q824" s="64"/>
      <c r="R824" s="64"/>
      <c r="S824" s="64"/>
      <c r="T824" s="64"/>
      <c r="U824" s="64"/>
      <c r="V824" s="64"/>
      <c r="W824" s="64" t="e">
        <f>SUM(#REF!)</f>
        <v>#REF!</v>
      </c>
      <c r="X824" s="64" t="e">
        <f>SUM(#REF!)</f>
        <v>#REF!</v>
      </c>
      <c r="Y824" s="64" t="e">
        <f>SUM(#REF!)</f>
        <v>#REF!</v>
      </c>
      <c r="Z824" s="64" t="e">
        <f>SUM(#REF!)</f>
        <v>#REF!</v>
      </c>
      <c r="AA824" s="64" t="e">
        <f>SUM(#REF!)</f>
        <v>#REF!</v>
      </c>
      <c r="AB824" s="64" t="e">
        <f>SUM(#REF!)</f>
        <v>#REF!</v>
      </c>
      <c r="AC824" s="64" t="e">
        <f>SUM(#REF!)</f>
        <v>#REF!</v>
      </c>
      <c r="AD824" s="64" t="e">
        <f>SUM(#REF!)</f>
        <v>#REF!</v>
      </c>
      <c r="AE824" s="64" t="e">
        <f>SUM(#REF!)</f>
        <v>#REF!</v>
      </c>
      <c r="AF824" s="64" t="e">
        <f>SUM(#REF!)</f>
        <v>#REF!</v>
      </c>
      <c r="AG824" s="64" t="e">
        <f>SUM(#REF!)</f>
        <v>#REF!</v>
      </c>
      <c r="AH824" s="64" t="e">
        <f>SUM(#REF!)</f>
        <v>#REF!</v>
      </c>
      <c r="AI824" s="64" t="e">
        <f>SUM(#REF!)</f>
        <v>#REF!</v>
      </c>
      <c r="AJ824" s="64"/>
      <c r="AK824" s="64"/>
      <c r="AL824" s="64"/>
      <c r="AM824" s="64"/>
      <c r="AN824" s="64"/>
      <c r="AO824" s="11">
        <v>1511113</v>
      </c>
      <c r="AP824" s="65" t="str">
        <f>CONCATENATE(AO824,D824)</f>
        <v>15111137</v>
      </c>
    </row>
    <row r="825" spans="1:42" s="1" customFormat="1" ht="27.75" customHeight="1" thickTop="1" thickBot="1" x14ac:dyDescent="0.3">
      <c r="A825" s="50" t="s">
        <v>20</v>
      </c>
      <c r="B825" s="50" t="s">
        <v>20</v>
      </c>
      <c r="C825" s="50" t="s">
        <v>20</v>
      </c>
      <c r="D825" s="51">
        <v>1511149</v>
      </c>
      <c r="E825" s="67" t="s">
        <v>130</v>
      </c>
      <c r="F825" s="68" t="e">
        <f>SUMIF($B$826:$B$830,"article",F826:F830)</f>
        <v>#VALUE!</v>
      </c>
      <c r="G825" s="68" t="e">
        <f>SUMIF($B$826:$B$830,"article",G826:G830)</f>
        <v>#VALUE!</v>
      </c>
      <c r="H825" s="68">
        <f>SUMIF($B$826:$B$830,"article",H826:H830)</f>
        <v>14706637464.32</v>
      </c>
      <c r="I825" s="68">
        <v>14706637464.32</v>
      </c>
      <c r="J825" s="68">
        <f>SUMIF($B$826:$B$830,"article",J826:J830)</f>
        <v>7971810876</v>
      </c>
      <c r="K825" s="68">
        <f>SUMIF($B$826:$B$830,"article",K826:K830)</f>
        <v>6734826588.3199997</v>
      </c>
      <c r="L825" s="69">
        <f t="shared" si="469"/>
        <v>0.54205530634317556</v>
      </c>
      <c r="M825" s="68"/>
      <c r="N825" s="68"/>
      <c r="O825" s="70"/>
      <c r="P825" s="70"/>
      <c r="Q825" s="70"/>
      <c r="R825" s="70"/>
      <c r="S825" s="70"/>
      <c r="T825" s="70"/>
      <c r="U825" s="70"/>
      <c r="V825" s="70"/>
      <c r="W825" s="70" t="e">
        <f>SUMIF($B$826:$B$830,"article",W826:W830)</f>
        <v>#REF!</v>
      </c>
      <c r="X825" s="70" t="e">
        <f>SUMIF($B$826:$B$830,"article",X826:X830)</f>
        <v>#REF!</v>
      </c>
      <c r="Y825" s="70" t="e">
        <f>SUMIF($B$826:$B$830,"article",Y826:Y830)</f>
        <v>#REF!</v>
      </c>
      <c r="Z825" s="70" t="e">
        <f>SUMIF($B$826:$B$830,"article",Z826:Z830)</f>
        <v>#REF!</v>
      </c>
      <c r="AA825" s="70" t="e">
        <f>SUMIF($B$826:$B$830,"article",AA826:AA830)</f>
        <v>#REF!</v>
      </c>
      <c r="AB825" s="70" t="e">
        <f>SUMIF($B$826:$B$830,"article",AB826:AB830)</f>
        <v>#REF!</v>
      </c>
      <c r="AC825" s="70" t="e">
        <f>SUMIF($B$826:$B$830,"article",AG826:AG830)</f>
        <v>#REF!</v>
      </c>
      <c r="AD825" s="70" t="e">
        <f>SUMIF($B$826:$B$830,"article",AD826:AD830)</f>
        <v>#REF!</v>
      </c>
      <c r="AE825" s="70" t="e">
        <f>SUMIF($B$826:$B$830,"article",AE826:AE830)</f>
        <v>#REF!</v>
      </c>
      <c r="AF825" s="70" t="e">
        <f>SUMIF($B$826:$B$830,"article",AF826:AF830)</f>
        <v>#REF!</v>
      </c>
      <c r="AG825" s="70" t="e">
        <f>SUMIF($B$826:$B$830,"article",AG826:AG830)</f>
        <v>#REF!</v>
      </c>
      <c r="AH825" s="70" t="e">
        <f>SUMIF($B$826:$B$830,"article",AH826:AH830)</f>
        <v>#REF!</v>
      </c>
      <c r="AI825" s="70" t="e">
        <f>SUMIF($B$826:$B$830,"article",AI826:AI830)</f>
        <v>#REF!</v>
      </c>
      <c r="AJ825" s="70"/>
      <c r="AK825" s="70"/>
      <c r="AL825" s="70"/>
      <c r="AM825" s="70"/>
      <c r="AN825" s="70"/>
      <c r="AO825" s="11">
        <v>1511149</v>
      </c>
    </row>
    <row r="826" spans="1:42" s="62" customFormat="1" ht="27.75" customHeight="1" thickTop="1" thickBot="1" x14ac:dyDescent="0.3">
      <c r="A826" s="56" t="s">
        <v>22</v>
      </c>
      <c r="B826" s="56" t="s">
        <v>22</v>
      </c>
      <c r="C826" s="57">
        <f>IF(A825="SECTION",D825,C825)</f>
        <v>1511149</v>
      </c>
      <c r="D826" s="111">
        <v>4</v>
      </c>
      <c r="E826" s="59" t="str">
        <f>IF(D826=1, "DEPENSES DE PERSONNEL",  +IF(D826=2,"DEPENSES DE SERVICES ET CHARGES DIVERSES", +IF(D826=3,"ACHATS DE BIENS DE CONSOMMATION ET PETITS MATERIELS",+IF(D826=4,"IMMOBILISATION CORPORELLE",+IF(D826=5,"IMMOBILISATION INCORPORELLE",+IF(D826=7,"SUBVENTIONS,QUOTES-PARTS ET CONTRIB.,ALLOC, INDEMNISATIONS",+IF(D826=8,"AMORTISSEMENT DE LA DETTE",+IF(D826=9,"AUTRES DEPENSES PUBLIQUES",0))))))))</f>
        <v>IMMOBILISATION CORPORELLE</v>
      </c>
      <c r="F826" s="60" t="e">
        <f>SUMIFS([49]mensuel_section_article1!$E$3:$E$962,[49]mensuel_section_article1!$B$3:$B$962,C826,[49]mensuel_section_article1!$C$3:$C$962,D826)</f>
        <v>#VALUE!</v>
      </c>
      <c r="G826" s="60" t="e">
        <f>SUMIFS([49]mensuel_section_article1!$G$3:$G$962,[49]mensuel_section_article1!$B$3:$B$962,C826,[49]mensuel_section_article1!$C$3:$C$962,D826)</f>
        <v>#VALUE!</v>
      </c>
      <c r="H826" s="60">
        <v>35000000</v>
      </c>
      <c r="I826" s="60">
        <v>35000000</v>
      </c>
      <c r="J826" s="60">
        <v>15268000</v>
      </c>
      <c r="K826" s="60">
        <f t="shared" ref="K826:K830" si="470">+H826-J826</f>
        <v>19732000</v>
      </c>
      <c r="L826" s="61">
        <f t="shared" si="469"/>
        <v>0.43622857142857141</v>
      </c>
      <c r="M826" s="60"/>
      <c r="N826" s="24"/>
      <c r="O826" s="112"/>
      <c r="P826" s="112"/>
      <c r="Q826" s="112"/>
      <c r="R826" s="112"/>
      <c r="S826" s="112"/>
      <c r="T826" s="112"/>
      <c r="U826" s="112"/>
      <c r="V826" s="112"/>
      <c r="W826" s="112" t="e">
        <f>SUM(#REF!)</f>
        <v>#REF!</v>
      </c>
      <c r="X826" s="112" t="e">
        <f>SUM(#REF!)</f>
        <v>#REF!</v>
      </c>
      <c r="Y826" s="112" t="e">
        <f>SUM(#REF!)</f>
        <v>#REF!</v>
      </c>
      <c r="Z826" s="112" t="e">
        <f>SUM(#REF!)</f>
        <v>#REF!</v>
      </c>
      <c r="AA826" s="112" t="e">
        <f>SUM(#REF!)</f>
        <v>#REF!</v>
      </c>
      <c r="AB826" s="112" t="e">
        <f>SUM(#REF!)</f>
        <v>#REF!</v>
      </c>
      <c r="AC826" s="112" t="e">
        <f>SUM(#REF!)</f>
        <v>#REF!</v>
      </c>
      <c r="AD826" s="112" t="e">
        <f>SUM(#REF!)</f>
        <v>#REF!</v>
      </c>
      <c r="AE826" s="112" t="e">
        <f>SUM(#REF!)</f>
        <v>#REF!</v>
      </c>
      <c r="AF826" s="112" t="e">
        <f>SUM(#REF!)</f>
        <v>#REF!</v>
      </c>
      <c r="AG826" s="112" t="e">
        <f>SUM(#REF!)</f>
        <v>#REF!</v>
      </c>
      <c r="AH826" s="112" t="e">
        <f>SUM(#REF!)</f>
        <v>#REF!</v>
      </c>
      <c r="AI826" s="112" t="e">
        <f>SUM(#REF!)</f>
        <v>#REF!</v>
      </c>
      <c r="AJ826" s="112"/>
      <c r="AK826" s="112"/>
      <c r="AL826" s="112"/>
      <c r="AM826" s="112"/>
      <c r="AN826" s="112"/>
      <c r="AO826" s="11">
        <v>1511149</v>
      </c>
      <c r="AP826" s="65" t="str">
        <f>CONCATENATE(AO826,D826)</f>
        <v>15111494</v>
      </c>
    </row>
    <row r="827" spans="1:42" s="62" customFormat="1" ht="27.75" hidden="1" customHeight="1" thickTop="1" thickBot="1" x14ac:dyDescent="0.3">
      <c r="A827" s="56" t="s">
        <v>22</v>
      </c>
      <c r="B827" s="56" t="s">
        <v>22</v>
      </c>
      <c r="C827" s="57">
        <f>IF(A826="SECTION",D826,C826)</f>
        <v>1511149</v>
      </c>
      <c r="D827" s="111">
        <v>5</v>
      </c>
      <c r="E827" s="59" t="str">
        <f>IF(D827=1, "DEPENSES DE PERSONNEL",  +IF(D827=2,"DEPENSES DE SERVICES ET CHARGES DIVERSES", +IF(D827=3,"ACHATS DE BIENS DE CONSOMMATION ET PETITS MATERIELS",+IF(D827=4,"IMMOBILISATION CORPORELLE",+IF(D827=5,"IMMOBILISATION INCORPORELLE",+IF(D827=7,"SUBVENTIONS,QUOTES-PARTS ET CONTRIB.,ALLOC, INDEMNISATIONS",+IF(D827=8,"AMORTISSEMENT DE LA DETTE",+IF(D827=9,"AUTRES DEPENSES PUBLIQUES",0))))))))</f>
        <v>IMMOBILISATION INCORPORELLE</v>
      </c>
      <c r="F827" s="60" t="e">
        <f>SUMIFS([49]mensuel_section_article1!$E$3:$E$962,[49]mensuel_section_article1!$B$3:$B$962,C827,[49]mensuel_section_article1!$C$3:$C$962,D827)</f>
        <v>#VALUE!</v>
      </c>
      <c r="G827" s="60" t="e">
        <f>SUMIFS([49]mensuel_section_article1!$G$3:$G$962,[49]mensuel_section_article1!$B$3:$B$962,C827,[49]mensuel_section_article1!$C$3:$C$962,D827)</f>
        <v>#VALUE!</v>
      </c>
      <c r="H827" s="60">
        <v>0</v>
      </c>
      <c r="I827" s="60">
        <v>0</v>
      </c>
      <c r="J827" s="60">
        <v>0</v>
      </c>
      <c r="K827" s="60">
        <f t="shared" si="470"/>
        <v>0</v>
      </c>
      <c r="L827" s="61" t="e">
        <f>IF(F827&lt;&gt;0,K827/F827,0)</f>
        <v>#VALUE!</v>
      </c>
      <c r="M827" s="60" t="e">
        <f>+SUMIFS([51]section_article!$H$10:$H$936,[51]section_article!$C$10:$C$936,C827,[51]section_article!$D$10:$D$936,D827)</f>
        <v>#VALUE!</v>
      </c>
      <c r="N827" s="24" t="e">
        <f>+J827-M827</f>
        <v>#VALUE!</v>
      </c>
      <c r="O827" s="112"/>
      <c r="P827" s="112"/>
      <c r="Q827" s="112"/>
      <c r="R827" s="112" t="e">
        <f>SUM(#REF!)</f>
        <v>#REF!</v>
      </c>
      <c r="S827" s="112" t="e">
        <f>SUM(#REF!)</f>
        <v>#REF!</v>
      </c>
      <c r="T827" s="112" t="e">
        <f>SUM(#REF!)</f>
        <v>#REF!</v>
      </c>
      <c r="U827" s="112" t="e">
        <f>SUM(#REF!)</f>
        <v>#REF!</v>
      </c>
      <c r="V827" s="112" t="e">
        <f>SUM(#REF!)</f>
        <v>#REF!</v>
      </c>
      <c r="W827" s="112" t="e">
        <f>SUM(#REF!)</f>
        <v>#REF!</v>
      </c>
      <c r="X827" s="112" t="e">
        <f>SUM(#REF!)</f>
        <v>#REF!</v>
      </c>
      <c r="Y827" s="112" t="e">
        <f>SUM(#REF!)</f>
        <v>#REF!</v>
      </c>
      <c r="Z827" s="112" t="e">
        <f>SUM(#REF!)</f>
        <v>#REF!</v>
      </c>
      <c r="AA827" s="112" t="e">
        <f>SUM(#REF!)</f>
        <v>#REF!</v>
      </c>
      <c r="AB827" s="112" t="e">
        <f>SUM(#REF!)</f>
        <v>#REF!</v>
      </c>
      <c r="AC827" s="112" t="e">
        <f>SUM(#REF!)</f>
        <v>#REF!</v>
      </c>
      <c r="AD827" s="112" t="e">
        <f>SUM(#REF!)</f>
        <v>#REF!</v>
      </c>
      <c r="AE827" s="112" t="e">
        <f>SUM(#REF!)</f>
        <v>#REF!</v>
      </c>
      <c r="AF827" s="112" t="e">
        <f>SUM(#REF!)</f>
        <v>#REF!</v>
      </c>
      <c r="AG827" s="112" t="e">
        <f>SUM(#REF!)</f>
        <v>#REF!</v>
      </c>
      <c r="AH827" s="112" t="e">
        <f>SUM(#REF!)</f>
        <v>#REF!</v>
      </c>
      <c r="AI827" s="112" t="e">
        <f>SUM(#REF!)</f>
        <v>#REF!</v>
      </c>
      <c r="AJ827" s="112"/>
      <c r="AK827" s="112"/>
      <c r="AL827" s="112"/>
      <c r="AM827" s="112"/>
      <c r="AN827" s="112"/>
      <c r="AO827" s="11">
        <v>1511149</v>
      </c>
      <c r="AP827" s="65" t="str">
        <f>CONCATENATE(AO827,D827)</f>
        <v>15111495</v>
      </c>
    </row>
    <row r="828" spans="1:42" s="62" customFormat="1" ht="27.75" customHeight="1" thickTop="1" thickBot="1" x14ac:dyDescent="0.3">
      <c r="A828" s="56" t="s">
        <v>22</v>
      </c>
      <c r="B828" s="56" t="s">
        <v>22</v>
      </c>
      <c r="C828" s="57">
        <f>IF(A827="SECTION",D827,C827)</f>
        <v>1511149</v>
      </c>
      <c r="D828" s="111">
        <v>7</v>
      </c>
      <c r="E828" s="59" t="str">
        <f>IF(D828=1, "DEPENSES DE PERSONNEL",  +IF(D828=2,"DEPENSES DE SERVICES ET CHARGES DIVERSES", +IF(D828=3,"ACHATS DE BIENS DE CONSOMMATION ET PETITS MATERIELS",+IF(D828=4,"IMMOBILISATION CORPORELLE",+IF(D828=5,"IMMOBILISATION INCORPORELLE",+IF(D828=7,"SUBVENTIONS,QUOTES-PARTS ET CONTRIB.,ALLOC, INDEMNISATIONS",+IF(D828=8,"AMORTISSEMENT DE LA DETTE",+IF(D828=9,"AUTRES DEPENSES PUBLIQUES",0))))))))</f>
        <v>SUBVENTIONS,QUOTES-PARTS ET CONTRIB.,ALLOC, INDEMNISATIONS</v>
      </c>
      <c r="F828" s="60" t="e">
        <f>SUMIFS([49]mensuel_section_article1!$E$3:$E$962,[49]mensuel_section_article1!$B$3:$B$962,C828,[49]mensuel_section_article1!$C$3:$C$962,D828)</f>
        <v>#VALUE!</v>
      </c>
      <c r="G828" s="60" t="e">
        <f>SUMIFS([49]mensuel_section_article1!$G$3:$G$962,[49]mensuel_section_article1!$B$3:$B$962,C828,[49]mensuel_section_article1!$C$3:$C$962,D828)</f>
        <v>#VALUE!</v>
      </c>
      <c r="H828" s="60">
        <v>8743055560</v>
      </c>
      <c r="I828" s="60">
        <v>8743055560</v>
      </c>
      <c r="J828" s="60">
        <v>3640446288</v>
      </c>
      <c r="K828" s="60">
        <f t="shared" si="470"/>
        <v>5102609272</v>
      </c>
      <c r="L828" s="61">
        <f>+J828/H828</f>
        <v>0.41638146561200623</v>
      </c>
      <c r="M828" s="60"/>
      <c r="N828" s="24"/>
      <c r="O828" s="112"/>
      <c r="P828" s="112"/>
      <c r="Q828" s="112"/>
      <c r="R828" s="112"/>
      <c r="S828" s="112"/>
      <c r="T828" s="112"/>
      <c r="U828" s="112"/>
      <c r="V828" s="112"/>
      <c r="W828" s="112" t="e">
        <f>SUM(#REF!)</f>
        <v>#REF!</v>
      </c>
      <c r="X828" s="112" t="e">
        <f>SUM(#REF!)</f>
        <v>#REF!</v>
      </c>
      <c r="Y828" s="112" t="e">
        <f>SUM(#REF!)</f>
        <v>#REF!</v>
      </c>
      <c r="Z828" s="112" t="e">
        <f>SUM(#REF!)</f>
        <v>#REF!</v>
      </c>
      <c r="AA828" s="112" t="e">
        <f>SUM(#REF!)</f>
        <v>#REF!</v>
      </c>
      <c r="AB828" s="112" t="e">
        <f>SUM(#REF!)</f>
        <v>#REF!</v>
      </c>
      <c r="AC828" s="112" t="e">
        <f>SUM(#REF!)</f>
        <v>#REF!</v>
      </c>
      <c r="AD828" s="112" t="e">
        <f>SUM(#REF!)</f>
        <v>#REF!</v>
      </c>
      <c r="AE828" s="112" t="e">
        <f>SUM(#REF!)</f>
        <v>#REF!</v>
      </c>
      <c r="AF828" s="112" t="e">
        <f>SUM(#REF!)</f>
        <v>#REF!</v>
      </c>
      <c r="AG828" s="112" t="e">
        <f>SUM(#REF!)</f>
        <v>#REF!</v>
      </c>
      <c r="AH828" s="112" t="e">
        <f>SUM(#REF!)</f>
        <v>#REF!</v>
      </c>
      <c r="AI828" s="112" t="e">
        <f>SUM(#REF!)</f>
        <v>#REF!</v>
      </c>
      <c r="AJ828" s="112"/>
      <c r="AK828" s="112"/>
      <c r="AL828" s="112"/>
      <c r="AM828" s="112"/>
      <c r="AN828" s="112"/>
      <c r="AO828" s="11">
        <v>1511149</v>
      </c>
      <c r="AP828" s="65" t="str">
        <f>CONCATENATE(AO828,D828)</f>
        <v>15111497</v>
      </c>
    </row>
    <row r="829" spans="1:42" s="62" customFormat="1" ht="27.75" customHeight="1" thickTop="1" thickBot="1" x14ac:dyDescent="0.3">
      <c r="A829" s="56" t="s">
        <v>22</v>
      </c>
      <c r="B829" s="56" t="s">
        <v>22</v>
      </c>
      <c r="C829" s="57">
        <f>IF(A828="SECTION",D828,C828)</f>
        <v>1511149</v>
      </c>
      <c r="D829" s="111">
        <v>9</v>
      </c>
      <c r="E829" s="59" t="str">
        <f>IF(D829=1, "DEPENSES DE PERSONNEL",  +IF(D829=2,"DEPENSES DE SERVICES ET CHARGES DIVERSES", +IF(D829=3,"ACHATS DE BIENS DE CONSOMMATION ET PETITS MATERIELS",+IF(D829=4,"IMMOBILISATION CORPORELLE",+IF(D829=5,"IMMOBILISATION INCORPORELLE",+IF(D829=7,"SUBVENTIONS,QUOTES-PARTS ET CONTRIB.,ALLOC, INDEMNISATIONS",+IF(D829=8,"AMORTISSEMENT DE LA DETTE",+IF(D829=9,"AUTRES DEPENSES PUBLIQUES",0))))))))</f>
        <v>AUTRES DEPENSES PUBLIQUES</v>
      </c>
      <c r="F829" s="60" t="e">
        <f>SUMIFS([49]mensuel_section_article1!$E$3:$E$962,[49]mensuel_section_article1!$B$3:$B$962,C829,[49]mensuel_section_article1!$C$3:$C$962,D829)</f>
        <v>#VALUE!</v>
      </c>
      <c r="G829" s="60" t="e">
        <f>SUMIFS([49]mensuel_section_article1!$G$3:$G$962,[49]mensuel_section_article1!$B$3:$B$962,C829,[49]mensuel_section_article1!$C$3:$C$962,D829)</f>
        <v>#VALUE!</v>
      </c>
      <c r="H829" s="60">
        <v>5928581904.3199997</v>
      </c>
      <c r="I829" s="60">
        <v>5928581904.3199997</v>
      </c>
      <c r="J829" s="60">
        <v>4316096588</v>
      </c>
      <c r="K829" s="60">
        <f t="shared" si="470"/>
        <v>1612485316.3199997</v>
      </c>
      <c r="L829" s="61">
        <f>+J829/H829</f>
        <v>0.72801500555385346</v>
      </c>
      <c r="M829" s="60"/>
      <c r="N829" s="24"/>
      <c r="O829" s="112"/>
      <c r="P829" s="112"/>
      <c r="Q829" s="112"/>
      <c r="R829" s="112"/>
      <c r="S829" s="112"/>
      <c r="T829" s="112"/>
      <c r="U829" s="112"/>
      <c r="V829" s="112"/>
      <c r="W829" s="112" t="e">
        <f>SUM(#REF!)</f>
        <v>#REF!</v>
      </c>
      <c r="X829" s="112" t="e">
        <f>SUM(#REF!)</f>
        <v>#REF!</v>
      </c>
      <c r="Y829" s="112" t="e">
        <f>SUM(#REF!)</f>
        <v>#REF!</v>
      </c>
      <c r="Z829" s="112" t="e">
        <f>SUM(#REF!)</f>
        <v>#REF!</v>
      </c>
      <c r="AA829" s="112" t="e">
        <f>SUM(#REF!)</f>
        <v>#REF!</v>
      </c>
      <c r="AB829" s="112" t="e">
        <f>SUM(#REF!)</f>
        <v>#REF!</v>
      </c>
      <c r="AC829" s="112" t="e">
        <f>SUM(#REF!)</f>
        <v>#REF!</v>
      </c>
      <c r="AD829" s="112" t="e">
        <f>SUM(#REF!)</f>
        <v>#REF!</v>
      </c>
      <c r="AE829" s="112" t="e">
        <f>SUM(#REF!)</f>
        <v>#REF!</v>
      </c>
      <c r="AF829" s="112" t="e">
        <f>SUM(#REF!)</f>
        <v>#REF!</v>
      </c>
      <c r="AG829" s="112" t="e">
        <f>SUM(#REF!)</f>
        <v>#REF!</v>
      </c>
      <c r="AH829" s="112" t="e">
        <f>SUM(#REF!)</f>
        <v>#REF!</v>
      </c>
      <c r="AI829" s="112" t="e">
        <f>SUM(#REF!)</f>
        <v>#REF!</v>
      </c>
      <c r="AJ829" s="112"/>
      <c r="AK829" s="112"/>
      <c r="AL829" s="112"/>
      <c r="AM829" s="112"/>
      <c r="AN829" s="112"/>
      <c r="AO829" s="11">
        <v>1511149</v>
      </c>
      <c r="AP829" s="65" t="str">
        <f>CONCATENATE(AO829,D829)</f>
        <v>15111499</v>
      </c>
    </row>
    <row r="830" spans="1:42" s="62" customFormat="1" ht="27.75" hidden="1" customHeight="1" thickTop="1" thickBot="1" x14ac:dyDescent="0.3">
      <c r="A830" s="56" t="s">
        <v>22</v>
      </c>
      <c r="B830" s="56" t="s">
        <v>22</v>
      </c>
      <c r="C830" s="57">
        <f>IF(A829="SECTION",D829,C829)</f>
        <v>1511149</v>
      </c>
      <c r="D830" s="58">
        <v>1</v>
      </c>
      <c r="E830" s="59" t="str">
        <f>IF(D830=1, "DEPENSES DE PERSONNEL",  +IF(D830=2,"DEPENSES DE SERVICES ET CHARGES DIVERSES", +IF(D830=3,"ACHATS DE BIENS DE CONSOMMATION ET PETITS MATERIELS",+IF(D830=4,"IMMOBILISATION CORPORELLE",+IF(D830=5,"IMMOBILISATION INCORPORELLE",+IF(D830=7,"SUBVENTIONS,QUOTES-PARTS ET CONTRIB.,ALLOC, INDEMNISATIONS",+IF(D830=8,"AMORTISSEMENT DE LA DETTE",+IF(D830=9,"AUTRES DEPENSES PUBLIQUES",0))))))))</f>
        <v>DEPENSES DE PERSONNEL</v>
      </c>
      <c r="F830" s="60" t="e">
        <f>SUMIFS([49]mensuel_section_article1!$E$3:$E$962,[49]mensuel_section_article1!$B$3:$B$962,C830,[49]mensuel_section_article1!$C$3:$C$962,D830)</f>
        <v>#VALUE!</v>
      </c>
      <c r="G830" s="60" t="e">
        <f>SUMIFS([49]mensuel_section_article1!$G$3:$G$962,[49]mensuel_section_article1!$B$3:$B$962,C830,[49]mensuel_section_article1!$C$3:$C$962,D830)</f>
        <v>#VALUE!</v>
      </c>
      <c r="H830" s="60">
        <v>0</v>
      </c>
      <c r="I830" s="60">
        <v>0</v>
      </c>
      <c r="J830" s="60">
        <v>0</v>
      </c>
      <c r="K830" s="60">
        <f t="shared" si="470"/>
        <v>0</v>
      </c>
      <c r="L830" s="61" t="e">
        <f>IF(F830&lt;&gt;0,K830/F830,0)</f>
        <v>#VALUE!</v>
      </c>
      <c r="M830" s="60" t="e">
        <f>+SUMIFS([51]section_article!$H$10:$H$936,[51]section_article!$C$10:$C$936,C830,[51]section_article!$D$10:$D$936,D830)</f>
        <v>#VALUE!</v>
      </c>
      <c r="N830" s="24" t="e">
        <f>+J830-M830</f>
        <v>#VALUE!</v>
      </c>
      <c r="O830" s="64"/>
      <c r="P830" s="64"/>
      <c r="Q830" s="64"/>
      <c r="R830" s="64" t="e">
        <f>SUM(#REF!)</f>
        <v>#REF!</v>
      </c>
      <c r="S830" s="64" t="e">
        <f>SUM(#REF!)</f>
        <v>#REF!</v>
      </c>
      <c r="T830" s="64" t="e">
        <f>SUM(#REF!)</f>
        <v>#REF!</v>
      </c>
      <c r="U830" s="64" t="e">
        <f>SUM(#REF!)</f>
        <v>#REF!</v>
      </c>
      <c r="V830" s="64" t="e">
        <f>SUM(#REF!)</f>
        <v>#REF!</v>
      </c>
      <c r="W830" s="64" t="e">
        <f>SUM(#REF!)</f>
        <v>#REF!</v>
      </c>
      <c r="X830" s="64" t="e">
        <f>SUM(#REF!)</f>
        <v>#REF!</v>
      </c>
      <c r="Y830" s="64" t="e">
        <f>SUM(#REF!)</f>
        <v>#REF!</v>
      </c>
      <c r="Z830" s="64" t="e">
        <f>SUM(#REF!)</f>
        <v>#REF!</v>
      </c>
      <c r="AA830" s="64" t="e">
        <f>SUM(#REF!)</f>
        <v>#REF!</v>
      </c>
      <c r="AB830" s="64" t="e">
        <f>SUM(#REF!)</f>
        <v>#REF!</v>
      </c>
      <c r="AC830" s="64" t="e">
        <f>SUM(#REF!)</f>
        <v>#REF!</v>
      </c>
      <c r="AD830" s="64" t="e">
        <f>SUM(#REF!)</f>
        <v>#REF!</v>
      </c>
      <c r="AE830" s="64" t="e">
        <f>SUM(#REF!)</f>
        <v>#REF!</v>
      </c>
      <c r="AF830" s="64" t="e">
        <f>SUM(#REF!)</f>
        <v>#REF!</v>
      </c>
      <c r="AG830" s="64" t="e">
        <f>SUM(#REF!)</f>
        <v>#REF!</v>
      </c>
      <c r="AH830" s="64" t="e">
        <f>SUM(#REF!)</f>
        <v>#REF!</v>
      </c>
      <c r="AI830" s="64" t="e">
        <f>SUM(#REF!)</f>
        <v>#REF!</v>
      </c>
      <c r="AJ830" s="64"/>
      <c r="AK830" s="64"/>
      <c r="AL830" s="64"/>
      <c r="AM830" s="64"/>
      <c r="AN830" s="64"/>
      <c r="AO830" s="11">
        <v>1511149</v>
      </c>
      <c r="AP830" s="65" t="str">
        <f>CONCATENATE(AO830,D830)</f>
        <v>15111491</v>
      </c>
    </row>
    <row r="831" spans="1:42" s="1" customFormat="1" ht="27.75" customHeight="1" thickTop="1" x14ac:dyDescent="0.25">
      <c r="A831" s="37" t="s">
        <v>16</v>
      </c>
      <c r="B831" s="37" t="s">
        <v>16</v>
      </c>
      <c r="C831" s="37" t="s">
        <v>16</v>
      </c>
      <c r="D831" s="73">
        <v>1512</v>
      </c>
      <c r="E831" s="74" t="s">
        <v>131</v>
      </c>
      <c r="F831" s="75" t="e">
        <f>SUMIF($B$832:$B$849,"chap",F832:F849)</f>
        <v>#VALUE!</v>
      </c>
      <c r="G831" s="75" t="e">
        <f>SUMIF($B$832:$B$849,"chap",G832:G849)</f>
        <v>#VALUE!</v>
      </c>
      <c r="H831" s="75">
        <f>SUMIF($B$832:$B$849,"chap",H832:H849)</f>
        <v>14400032623.355</v>
      </c>
      <c r="I831" s="75">
        <v>14400032623.300001</v>
      </c>
      <c r="J831" s="75">
        <f>SUMIF($B$832:$B$849,"chap",J832:J849)</f>
        <v>13377933324.889999</v>
      </c>
      <c r="K831" s="75">
        <f>SUMIF($B$832:$B$849,"chap",K832:K849)</f>
        <v>1022099298.4649994</v>
      </c>
      <c r="L831" s="76">
        <f t="shared" ref="L831:L847" si="471">+J831/H831</f>
        <v>0.92902104285463305</v>
      </c>
      <c r="M831" s="75"/>
      <c r="N831" s="75"/>
      <c r="O831" s="9"/>
      <c r="Q831" s="23"/>
      <c r="AK831" s="77"/>
      <c r="AL831" s="77"/>
      <c r="AM831" s="77"/>
      <c r="AN831" s="77"/>
      <c r="AO831" s="11"/>
    </row>
    <row r="832" spans="1:42" s="49" customFormat="1" ht="27.75" customHeight="1" x14ac:dyDescent="0.25">
      <c r="A832" s="43" t="s">
        <v>19</v>
      </c>
      <c r="B832" s="43" t="s">
        <v>19</v>
      </c>
      <c r="C832" s="43" t="s">
        <v>19</v>
      </c>
      <c r="D832" s="44">
        <v>15121</v>
      </c>
      <c r="E832" s="45" t="str">
        <f>VLOOKUP(D832,[49]INST!$A$1:$B$626,2,FALSE)</f>
        <v>DETTE INTERNE</v>
      </c>
      <c r="F832" s="46" t="e">
        <f>SUMIF($B$833:$B$840,"section",F833:F840)</f>
        <v>#VALUE!</v>
      </c>
      <c r="G832" s="46" t="e">
        <f>SUMIF($B$833:$B$840,"section",G833:G840)</f>
        <v>#VALUE!</v>
      </c>
      <c r="H832" s="46">
        <f>SUMIF($B$833:$B$840,"section",H833:H840)</f>
        <v>7090907153.5100002</v>
      </c>
      <c r="I832" s="46">
        <v>5708060364.3500004</v>
      </c>
      <c r="J832" s="46">
        <f>SUMIF($B$833:$B$840,"section",J833:J840)</f>
        <v>4691457379.6300001</v>
      </c>
      <c r="K832" s="46">
        <f>SUMIF($B$833:$B$840,"section",K833:K840)</f>
        <v>2399449773.8799996</v>
      </c>
      <c r="L832" s="47">
        <f t="shared" si="471"/>
        <v>0.66161596507545972</v>
      </c>
      <c r="M832" s="46"/>
      <c r="N832" s="46"/>
      <c r="O832" s="48"/>
      <c r="AO832" s="11"/>
    </row>
    <row r="833" spans="1:42" s="1" customFormat="1" ht="27.75" customHeight="1" thickBot="1" x14ac:dyDescent="0.3">
      <c r="A833" s="50" t="s">
        <v>20</v>
      </c>
      <c r="B833" s="50" t="s">
        <v>20</v>
      </c>
      <c r="C833" s="50" t="s">
        <v>20</v>
      </c>
      <c r="D833" s="51">
        <v>1512111</v>
      </c>
      <c r="E833" s="67" t="s">
        <v>132</v>
      </c>
      <c r="F833" s="68" t="e">
        <f>SUMIF($B$834:$B$834,"article",F834:F834)</f>
        <v>#VALUE!</v>
      </c>
      <c r="G833" s="68" t="e">
        <f>SUMIF($B$834:$B$834,"article",G834:G834)</f>
        <v>#VALUE!</v>
      </c>
      <c r="H833" s="68">
        <f>SUMIF($B$834:$B$834,"article",H834:H834)</f>
        <v>1100000000</v>
      </c>
      <c r="I833" s="68">
        <v>734284616.88999999</v>
      </c>
      <c r="J833" s="68">
        <f>SUMIF($B$834:$B$834,"article",J834:J834)</f>
        <v>0</v>
      </c>
      <c r="K833" s="68">
        <f>SUMIF($B$834:$B$834,"article",K834:K834)</f>
        <v>1100000000</v>
      </c>
      <c r="L833" s="69">
        <f t="shared" si="471"/>
        <v>0</v>
      </c>
      <c r="M833" s="68"/>
      <c r="N833" s="68"/>
      <c r="O833" s="9"/>
      <c r="Q833" s="23"/>
      <c r="AK833" s="70"/>
      <c r="AL833" s="70"/>
      <c r="AM833" s="70"/>
      <c r="AN833" s="70"/>
      <c r="AO833" s="11">
        <v>1512111</v>
      </c>
    </row>
    <row r="834" spans="1:42" s="62" customFormat="1" ht="27.75" customHeight="1" thickTop="1" thickBot="1" x14ac:dyDescent="0.3">
      <c r="A834" s="56" t="s">
        <v>22</v>
      </c>
      <c r="B834" s="56" t="s">
        <v>22</v>
      </c>
      <c r="C834" s="57">
        <f>IF(A833="SECTION",D833,C833)</f>
        <v>1512111</v>
      </c>
      <c r="D834" s="58">
        <v>2</v>
      </c>
      <c r="E834" s="59" t="str">
        <f>IF(D834=1, "DEPENSES DE PERSONNEL",  +IF(D834=2,"DEPENSES DE SERVICES ET CHARGES DIVERSES", +IF(D834=3,"ACHATS DE BIENS DE CONSOMMATION ET PETITS MATERIELS",+IF(D834=4,"IMMOBILISATION CORPORELLE",+IF(D834=5,"IMMOBILISATION INCORPORELLE",+IF(D834=7,"SUBVENTIONS,QUOTES-PARTS ET CONTRIB.,ALLOC, INDEMNISATIONS",+IF(D834=8,"AMORTISSEMENT DE LA DETTE",+IF(D834=9,"AUTRES DEPENSES PUBLIQUES",0))))))))</f>
        <v>DEPENSES DE SERVICES ET CHARGES DIVERSES</v>
      </c>
      <c r="F834" s="60" t="e">
        <f>SUMIFS([49]mensuel_section_article1!$E$3:$E$962,[49]mensuel_section_article1!$B$3:$B$962,C834,[49]mensuel_section_article1!$C$3:$C$962,D834)</f>
        <v>#VALUE!</v>
      </c>
      <c r="G834" s="60" t="e">
        <f>SUMIFS([49]mensuel_section_article1!$G$3:$G$962,[49]mensuel_section_article1!$B$3:$B$962,C834,[49]mensuel_section_article1!$C$3:$C$962,D834)</f>
        <v>#VALUE!</v>
      </c>
      <c r="H834" s="60">
        <v>1100000000</v>
      </c>
      <c r="I834" s="60">
        <v>734284616.88999999</v>
      </c>
      <c r="J834" s="60">
        <v>0</v>
      </c>
      <c r="K834" s="60">
        <f>+H834-J834</f>
        <v>1100000000</v>
      </c>
      <c r="L834" s="61">
        <f t="shared" si="471"/>
        <v>0</v>
      </c>
      <c r="M834" s="60"/>
      <c r="N834" s="24"/>
      <c r="O834" s="9"/>
      <c r="Q834" s="63"/>
      <c r="AK834" s="64"/>
      <c r="AL834" s="64"/>
      <c r="AM834" s="64"/>
      <c r="AN834" s="64"/>
      <c r="AO834" s="11">
        <v>1512111</v>
      </c>
      <c r="AP834" s="65" t="str">
        <f>CONCATENATE(AO834,D834)</f>
        <v>15121112</v>
      </c>
    </row>
    <row r="835" spans="1:42" s="1" customFormat="1" ht="27.75" customHeight="1" thickTop="1" thickBot="1" x14ac:dyDescent="0.3">
      <c r="A835" s="50" t="s">
        <v>20</v>
      </c>
      <c r="B835" s="50" t="s">
        <v>20</v>
      </c>
      <c r="C835" s="50" t="s">
        <v>20</v>
      </c>
      <c r="D835" s="51">
        <v>1512112</v>
      </c>
      <c r="E835" s="67" t="s">
        <v>133</v>
      </c>
      <c r="F835" s="68" t="e">
        <f>SUMIF($B$836:$B$837,"article",F836:F837)</f>
        <v>#VALUE!</v>
      </c>
      <c r="G835" s="68" t="e">
        <f>SUMIF($B$836:$B$837,"article",G836:G837)</f>
        <v>#VALUE!</v>
      </c>
      <c r="H835" s="68">
        <f>SUMIF($B$836:$B$837,"article",H836:H837)</f>
        <v>3796990224.8200002</v>
      </c>
      <c r="I835" s="68">
        <v>2402797674.75</v>
      </c>
      <c r="J835" s="68">
        <f>SUMIF($B$836:$B$837,"article",J836:J837)</f>
        <v>2164737840.6199999</v>
      </c>
      <c r="K835" s="68">
        <f>SUMIF($B$836:$B$837,"article",K836:K837)</f>
        <v>1632252384.2</v>
      </c>
      <c r="L835" s="69">
        <f t="shared" si="471"/>
        <v>0.57011941365285479</v>
      </c>
      <c r="M835" s="68"/>
      <c r="N835" s="68"/>
      <c r="O835" s="9"/>
      <c r="Q835" s="23"/>
      <c r="AK835" s="70"/>
      <c r="AL835" s="70"/>
      <c r="AM835" s="70"/>
      <c r="AN835" s="70"/>
      <c r="AO835" s="11">
        <v>1512112</v>
      </c>
    </row>
    <row r="836" spans="1:42" s="62" customFormat="1" ht="27.75" customHeight="1" thickTop="1" thickBot="1" x14ac:dyDescent="0.3">
      <c r="A836" s="56" t="s">
        <v>22</v>
      </c>
      <c r="B836" s="56" t="s">
        <v>22</v>
      </c>
      <c r="C836" s="57">
        <f>IF(A835="SECTION",D835,C835)</f>
        <v>1512112</v>
      </c>
      <c r="D836" s="58">
        <v>2</v>
      </c>
      <c r="E836" s="59" t="str">
        <f>IF(D836=1, "DEPENSES DE PERSONNEL",  +IF(D836=2,"DEPENSES DE SERVICES ET CHARGES DIVERSES", +IF(D836=3,"ACHATS DE BIENS DE CONSOMMATION ET PETITS MATERIELS",+IF(D836=4,"IMMOBILISATION CORPORELLE",+IF(D836=5,"IMMOBILISATION INCORPORELLE",+IF(D836=7,"SUBVENTIONS,QUOTES-PARTS ET CONTRIB.,ALLOC, INDEMNISATIONS",+IF(D836=8,"AMORTISSEMENT DE LA DETTE",+IF(D836=9,"AUTRES DEPENSES PUBLIQUES",0))))))))</f>
        <v>DEPENSES DE SERVICES ET CHARGES DIVERSES</v>
      </c>
      <c r="F836" s="60" t="e">
        <f>SUMIFS([49]mensuel_section_article1!$E$3:$E$962,[49]mensuel_section_article1!$B$3:$B$962,C836,[49]mensuel_section_article1!$C$3:$C$962,D836)</f>
        <v>#VALUE!</v>
      </c>
      <c r="G836" s="60" t="e">
        <f>SUMIFS([49]mensuel_section_article1!$G$3:$G$962,[49]mensuel_section_article1!$B$3:$B$962,C836,[49]mensuel_section_article1!$C$3:$C$962,D836)</f>
        <v>#VALUE!</v>
      </c>
      <c r="H836" s="60">
        <v>380840224.82000011</v>
      </c>
      <c r="I836" s="60">
        <v>463061977.97000003</v>
      </c>
      <c r="J836" s="60">
        <v>460546845.87</v>
      </c>
      <c r="K836" s="60">
        <f t="shared" ref="K836:K837" si="472">+H836-J836</f>
        <v>-79706621.049999893</v>
      </c>
      <c r="L836" s="61">
        <f t="shared" si="471"/>
        <v>1.2092914977341807</v>
      </c>
      <c r="M836" s="60"/>
      <c r="N836" s="24"/>
      <c r="O836" s="9"/>
      <c r="Q836" s="63"/>
      <c r="AK836" s="64"/>
      <c r="AL836" s="64"/>
      <c r="AM836" s="64"/>
      <c r="AN836" s="64"/>
      <c r="AO836" s="11">
        <v>1512112</v>
      </c>
      <c r="AP836" s="65" t="str">
        <f>CONCATENATE(AO836,D836)</f>
        <v>15121122</v>
      </c>
    </row>
    <row r="837" spans="1:42" s="62" customFormat="1" ht="27.75" customHeight="1" thickTop="1" thickBot="1" x14ac:dyDescent="0.3">
      <c r="A837" s="56" t="s">
        <v>22</v>
      </c>
      <c r="B837" s="56" t="s">
        <v>22</v>
      </c>
      <c r="C837" s="57">
        <f>IF(A836="SECTION",D836,C836)</f>
        <v>1512112</v>
      </c>
      <c r="D837" s="58">
        <v>8</v>
      </c>
      <c r="E837" s="59" t="str">
        <f>IF(D837=1, "DEPENSES DE PERSONNEL",  +IF(D837=2,"DEPENSES DE SERVICES ET CHARGES DIVERSES", +IF(D837=3,"ACHATS DE BIENS DE CONSOMMATION ET PETITS MATERIELS",+IF(D837=4,"IMMOBILISATION CORPORELLE",+IF(D837=5,"IMMOBILISATION INCORPORELLE",+IF(D837=7,"SUBVENTIONS,QUOTES-PARTS ET CONTRIB.,ALLOC, INDEMNISATIONS",+IF(D837=8,"AMORTISSEMENT DE LA DETTE",+IF(D837=9,"AUTRES DEPENSES PUBLIQUES",0))))))))</f>
        <v>AMORTISSEMENT DE LA DETTE</v>
      </c>
      <c r="F837" s="60" t="e">
        <f>SUMIFS([49]mensuel_section_article1!$E$3:$E$962,[49]mensuel_section_article1!$B$3:$B$962,C837,[49]mensuel_section_article1!$C$3:$C$962,D837)</f>
        <v>#VALUE!</v>
      </c>
      <c r="G837" s="60" t="e">
        <f>SUMIFS([49]mensuel_section_article1!$G$3:$G$962,[49]mensuel_section_article1!$B$3:$B$962,C837,[49]mensuel_section_article1!$C$3:$C$962,D837)</f>
        <v>#VALUE!</v>
      </c>
      <c r="H837" s="60">
        <v>3416150000</v>
      </c>
      <c r="I837" s="60">
        <v>1939735696.78</v>
      </c>
      <c r="J837" s="60">
        <v>1704190994.75</v>
      </c>
      <c r="K837" s="60">
        <f t="shared" si="472"/>
        <v>1711959005.25</v>
      </c>
      <c r="L837" s="61">
        <f t="shared" si="471"/>
        <v>0.49886304604598747</v>
      </c>
      <c r="M837" s="60"/>
      <c r="N837" s="24"/>
      <c r="O837" s="9"/>
      <c r="Q837" s="63"/>
      <c r="AK837" s="64"/>
      <c r="AL837" s="64"/>
      <c r="AM837" s="64"/>
      <c r="AN837" s="64"/>
      <c r="AO837" s="11">
        <v>1512112</v>
      </c>
      <c r="AP837" s="65" t="str">
        <f>CONCATENATE(AO837,D837)</f>
        <v>15121128</v>
      </c>
    </row>
    <row r="838" spans="1:42" s="1" customFormat="1" ht="27.75" customHeight="1" thickTop="1" thickBot="1" x14ac:dyDescent="0.3">
      <c r="A838" s="50" t="s">
        <v>20</v>
      </c>
      <c r="B838" s="50" t="s">
        <v>20</v>
      </c>
      <c r="C838" s="50" t="s">
        <v>20</v>
      </c>
      <c r="D838" s="51">
        <v>1512113</v>
      </c>
      <c r="E838" s="67" t="s">
        <v>134</v>
      </c>
      <c r="F838" s="68" t="e">
        <f>SUMIF($B$839:$B$840,"article",F839:F840)</f>
        <v>#VALUE!</v>
      </c>
      <c r="G838" s="68" t="e">
        <f>SUMIF($B$839:$B$840,"article",G839:G840)</f>
        <v>#VALUE!</v>
      </c>
      <c r="H838" s="68">
        <f>SUMIF($B$839:$B$840,"article",H839:H840)</f>
        <v>2193916928.6900001</v>
      </c>
      <c r="I838" s="68">
        <v>2570978072.71</v>
      </c>
      <c r="J838" s="68">
        <f>SUMIF($B$839:$B$840,"article",J839:J840)</f>
        <v>2526719539.0100002</v>
      </c>
      <c r="K838" s="68">
        <f>SUMIF($B$839:$B$840,"article",K839:K840)</f>
        <v>-332802610.31999999</v>
      </c>
      <c r="L838" s="69">
        <f t="shared" si="471"/>
        <v>1.1516933508137515</v>
      </c>
      <c r="M838" s="68"/>
      <c r="N838" s="68"/>
      <c r="O838" s="9"/>
      <c r="Q838" s="23"/>
      <c r="AK838" s="70"/>
      <c r="AL838" s="70"/>
      <c r="AM838" s="70"/>
      <c r="AN838" s="70"/>
      <c r="AO838" s="11">
        <v>1512113</v>
      </c>
    </row>
    <row r="839" spans="1:42" s="62" customFormat="1" ht="27.75" customHeight="1" thickTop="1" thickBot="1" x14ac:dyDescent="0.3">
      <c r="A839" s="56" t="s">
        <v>22</v>
      </c>
      <c r="B839" s="56" t="s">
        <v>22</v>
      </c>
      <c r="C839" s="57">
        <f>IF(A838="SECTION",D838,C838)</f>
        <v>1512113</v>
      </c>
      <c r="D839" s="58">
        <v>2</v>
      </c>
      <c r="E839" s="59" t="str">
        <f>IF(D839=1, "DEPENSES DE PERSONNEL",  +IF(D839=2,"DEPENSES DE SERVICES ET CHARGES DIVERSES", +IF(D839=3,"ACHATS DE BIENS DE CONSOMMATION ET PETITS MATERIELS",+IF(D839=4,"IMMOBILISATION CORPORELLE",+IF(D839=5,"IMMOBILISATION INCORPORELLE",+IF(D839=7,"SUBVENTIONS,QUOTES-PARTS ET CONTRIB.,ALLOC, INDEMNISATIONS",+IF(D839=8,"AMORTISSEMENT DE LA DETTE",+IF(D839=9,"AUTRES DEPENSES PUBLIQUES",0))))))))</f>
        <v>DEPENSES DE SERVICES ET CHARGES DIVERSES</v>
      </c>
      <c r="F839" s="60" t="e">
        <f>SUMIFS([49]mensuel_section_article1!$E$3:$E$962,[49]mensuel_section_article1!$B$3:$B$962,C839,[49]mensuel_section_article1!$C$3:$C$962,D839)</f>
        <v>#VALUE!</v>
      </c>
      <c r="G839" s="60" t="e">
        <f>SUMIFS([49]mensuel_section_article1!$G$3:$G$962,[49]mensuel_section_article1!$B$3:$B$962,C839,[49]mensuel_section_article1!$C$3:$C$962,D839)</f>
        <v>#VALUE!</v>
      </c>
      <c r="H839" s="60">
        <v>60583595.329999998</v>
      </c>
      <c r="I839" s="60">
        <v>140315512</v>
      </c>
      <c r="J839" s="60">
        <v>104946196.41999999</v>
      </c>
      <c r="K839" s="60">
        <f t="shared" ref="K839:K840" si="473">+H839-J839</f>
        <v>-44362601.089999989</v>
      </c>
      <c r="L839" s="61">
        <f t="shared" si="471"/>
        <v>1.7322543478701793</v>
      </c>
      <c r="M839" s="60"/>
      <c r="N839" s="24"/>
      <c r="O839" s="9"/>
      <c r="Q839" s="63"/>
      <c r="AK839" s="64"/>
      <c r="AL839" s="64"/>
      <c r="AM839" s="64"/>
      <c r="AN839" s="64"/>
      <c r="AO839" s="11">
        <v>1512113</v>
      </c>
      <c r="AP839" s="65" t="str">
        <f>CONCATENATE(AO839,D839)</f>
        <v>15121132</v>
      </c>
    </row>
    <row r="840" spans="1:42" s="62" customFormat="1" ht="27.75" customHeight="1" thickTop="1" thickBot="1" x14ac:dyDescent="0.3">
      <c r="A840" s="56" t="s">
        <v>22</v>
      </c>
      <c r="B840" s="56" t="s">
        <v>22</v>
      </c>
      <c r="C840" s="57">
        <f>IF(A839="SECTION",D839,C839)</f>
        <v>1512113</v>
      </c>
      <c r="D840" s="58">
        <v>8</v>
      </c>
      <c r="E840" s="59" t="str">
        <f>IF(D840=1, "DEPENSES DE PERSONNEL",  +IF(D840=2,"DEPENSES DE SERVICES ET CHARGES DIVERSES", +IF(D840=3,"ACHATS DE BIENS DE CONSOMMATION ET PETITS MATERIELS",+IF(D840=4,"IMMOBILISATION CORPORELLE",+IF(D840=5,"IMMOBILISATION INCORPORELLE",+IF(D840=7,"SUBVENTIONS,QUOTES-PARTS ET CONTRIB.,ALLOC, INDEMNISATIONS",+IF(D840=8,"AMORTISSEMENT DE LA DETTE",+IF(D840=9,"AUTRES DEPENSES PUBLIQUES",0))))))))</f>
        <v>AMORTISSEMENT DE LA DETTE</v>
      </c>
      <c r="F840" s="60" t="e">
        <f>SUMIFS([49]mensuel_section_article1!$E$3:$E$962,[49]mensuel_section_article1!$B$3:$B$962,C840,[49]mensuel_section_article1!$C$3:$C$962,D840)</f>
        <v>#VALUE!</v>
      </c>
      <c r="G840" s="60" t="e">
        <f>SUMIFS([49]mensuel_section_article1!$G$3:$G$962,[49]mensuel_section_article1!$B$3:$B$962,C840,[49]mensuel_section_article1!$C$3:$C$962,D840)</f>
        <v>#VALUE!</v>
      </c>
      <c r="H840" s="60">
        <v>2133333333.3600001</v>
      </c>
      <c r="I840" s="60">
        <v>2430662560.71</v>
      </c>
      <c r="J840" s="60">
        <v>2421773342.5900002</v>
      </c>
      <c r="K840" s="60">
        <f t="shared" si="473"/>
        <v>-288440009.23000002</v>
      </c>
      <c r="L840" s="61">
        <f t="shared" si="471"/>
        <v>1.1352062543248724</v>
      </c>
      <c r="M840" s="60"/>
      <c r="N840" s="24"/>
      <c r="O840" s="9"/>
      <c r="Q840" s="63"/>
      <c r="AK840" s="64"/>
      <c r="AL840" s="64"/>
      <c r="AM840" s="64"/>
      <c r="AN840" s="64"/>
      <c r="AO840" s="11">
        <v>1512113</v>
      </c>
      <c r="AP840" s="65" t="str">
        <f>CONCATENATE(AO840,D840)</f>
        <v>15121138</v>
      </c>
    </row>
    <row r="841" spans="1:42" s="49" customFormat="1" ht="27.75" customHeight="1" thickTop="1" x14ac:dyDescent="0.25">
      <c r="A841" s="43" t="s">
        <v>19</v>
      </c>
      <c r="B841" s="43" t="s">
        <v>19</v>
      </c>
      <c r="C841" s="43" t="s">
        <v>19</v>
      </c>
      <c r="D841" s="44">
        <v>15122</v>
      </c>
      <c r="E841" s="45" t="str">
        <f>VLOOKUP(D841,[49]INST!$A$1:$B$626,2,FALSE)</f>
        <v>DETTE EXTERNE</v>
      </c>
      <c r="F841" s="46" t="e">
        <f>SUMIF($B$842:$B$849,"section",F842:F849)</f>
        <v>#VALUE!</v>
      </c>
      <c r="G841" s="46" t="e">
        <f>SUMIF($B$842:$B$849,"section",G842:G849)</f>
        <v>#VALUE!</v>
      </c>
      <c r="H841" s="46">
        <f>SUMIF($B$842:$B$849,"section",H842:H849)</f>
        <v>7309125469.8449993</v>
      </c>
      <c r="I841" s="46">
        <v>8691972258.9500008</v>
      </c>
      <c r="J841" s="46">
        <f>SUMIF($B$842:$B$849,"section",J842:J849)</f>
        <v>8686475945.2600002</v>
      </c>
      <c r="K841" s="46">
        <f>SUMIF($B$842:$B$849,"section",K842:K849)</f>
        <v>-1377350475.4150002</v>
      </c>
      <c r="L841" s="47">
        <f t="shared" si="471"/>
        <v>1.1884425819610687</v>
      </c>
      <c r="M841" s="46"/>
      <c r="N841" s="46"/>
      <c r="O841" s="48"/>
      <c r="AO841" s="11"/>
    </row>
    <row r="842" spans="1:42" s="1" customFormat="1" ht="27.75" customHeight="1" thickBot="1" x14ac:dyDescent="0.3">
      <c r="A842" s="50" t="s">
        <v>20</v>
      </c>
      <c r="B842" s="50" t="s">
        <v>20</v>
      </c>
      <c r="C842" s="50" t="s">
        <v>20</v>
      </c>
      <c r="D842" s="51">
        <v>1512211</v>
      </c>
      <c r="E842" s="67" t="s">
        <v>135</v>
      </c>
      <c r="F842" s="68" t="e">
        <f>SUMIF($B$843:$B$844,"article",F843:F844)</f>
        <v>#VALUE!</v>
      </c>
      <c r="G842" s="68" t="e">
        <f>SUMIF($B$843:$B$844,"article",G843:G844)</f>
        <v>#VALUE!</v>
      </c>
      <c r="H842" s="68">
        <f>SUMIF($B$843:$B$844,"article",H843:H844)</f>
        <v>251266514.50375</v>
      </c>
      <c r="I842" s="68">
        <v>330359018.78999996</v>
      </c>
      <c r="J842" s="68">
        <f>SUMIF($B$843:$B$844,"article",J843:J844)</f>
        <v>330356654.58999997</v>
      </c>
      <c r="K842" s="68">
        <f>SUMIF($B$843:$B$844,"article",K843:K844)</f>
        <v>-79090140.086249977</v>
      </c>
      <c r="L842" s="69">
        <f t="shared" si="471"/>
        <v>1.3147659378427428</v>
      </c>
      <c r="M842" s="68"/>
      <c r="N842" s="68"/>
      <c r="O842" s="9"/>
      <c r="Q842" s="23"/>
      <c r="AK842" s="70"/>
      <c r="AL842" s="70"/>
      <c r="AM842" s="70"/>
      <c r="AN842" s="70"/>
      <c r="AO842" s="11">
        <v>1512211</v>
      </c>
    </row>
    <row r="843" spans="1:42" s="62" customFormat="1" ht="27.75" customHeight="1" thickTop="1" thickBot="1" x14ac:dyDescent="0.3">
      <c r="A843" s="56" t="s">
        <v>22</v>
      </c>
      <c r="B843" s="56" t="s">
        <v>22</v>
      </c>
      <c r="C843" s="57">
        <f>IF(A842="SECTION",D842,C842)</f>
        <v>1512211</v>
      </c>
      <c r="D843" s="58">
        <v>2</v>
      </c>
      <c r="E843" s="59" t="str">
        <f>IF(D843=1, "DEPENSES DE PERSONNEL",  +IF(D843=2,"DEPENSES DE SERVICES ET CHARGES DIVERSES", +IF(D843=3,"ACHATS DE BIENS DE CONSOMMATION ET PETITS MATERIELS",+IF(D843=4,"IMMOBILISATION CORPORELLE",+IF(D843=5,"IMMOBILISATION INCORPORELLE",+IF(D843=7,"SUBVENTIONS,QUOTES-PARTS ET CONTRIB.,ALLOC, INDEMNISATIONS",+IF(D843=8,"AMORTISSEMENT DE LA DETTE",+IF(D843=9,"AUTRES DEPENSES PUBLIQUES",0))))))))</f>
        <v>DEPENSES DE SERVICES ET CHARGES DIVERSES</v>
      </c>
      <c r="F843" s="60" t="e">
        <f>SUMIFS([49]mensuel_section_article1!$E$3:$E$962,[49]mensuel_section_article1!$B$3:$B$962,C843,[49]mensuel_section_article1!$C$3:$C$962,D843)</f>
        <v>#VALUE!</v>
      </c>
      <c r="G843" s="60" t="e">
        <f>SUMIFS([49]mensuel_section_article1!$G$3:$G$962,[49]mensuel_section_article1!$B$3:$B$962,C843,[49]mensuel_section_article1!$C$3:$C$962,D843)</f>
        <v>#VALUE!</v>
      </c>
      <c r="H843" s="60">
        <v>90719303.699999988</v>
      </c>
      <c r="I843" s="60">
        <v>111960919.90000001</v>
      </c>
      <c r="J843" s="60">
        <v>111960782.32999998</v>
      </c>
      <c r="K843" s="60">
        <f t="shared" ref="K843:K844" si="474">+H843-J843</f>
        <v>-21241478.629999995</v>
      </c>
      <c r="L843" s="61">
        <f t="shared" si="471"/>
        <v>1.2341450800839866</v>
      </c>
      <c r="M843" s="60"/>
      <c r="N843" s="24"/>
      <c r="O843" s="9"/>
      <c r="Q843" s="63"/>
      <c r="AK843" s="64"/>
      <c r="AL843" s="64"/>
      <c r="AM843" s="64"/>
      <c r="AN843" s="64"/>
      <c r="AO843" s="11">
        <v>1512211</v>
      </c>
      <c r="AP843" s="65" t="str">
        <f>CONCATENATE(AO843,D843)</f>
        <v>15122112</v>
      </c>
    </row>
    <row r="844" spans="1:42" s="62" customFormat="1" ht="27.75" customHeight="1" thickTop="1" thickBot="1" x14ac:dyDescent="0.3">
      <c r="A844" s="56" t="s">
        <v>22</v>
      </c>
      <c r="B844" s="56" t="s">
        <v>22</v>
      </c>
      <c r="C844" s="57">
        <f>IF(A843="SECTION",D843,C843)</f>
        <v>1512211</v>
      </c>
      <c r="D844" s="58">
        <v>8</v>
      </c>
      <c r="E844" s="59" t="str">
        <f>IF(D844=1, "DEPENSES DE PERSONNEL",  +IF(D844=2,"DEPENSES DE SERVICES ET CHARGES DIVERSES", +IF(D844=3,"ACHATS DE BIENS DE CONSOMMATION ET PETITS MATERIELS",+IF(D844=4,"IMMOBILISATION CORPORELLE",+IF(D844=5,"IMMOBILISATION INCORPORELLE",+IF(D844=7,"SUBVENTIONS,QUOTES-PARTS ET CONTRIB.,ALLOC, INDEMNISATIONS",+IF(D844=8,"AMORTISSEMENT DE LA DETTE",+IF(D844=9,"AUTRES DEPENSES PUBLIQUES",0))))))))</f>
        <v>AMORTISSEMENT DE LA DETTE</v>
      </c>
      <c r="F844" s="60" t="e">
        <f>SUMIFS([49]mensuel_section_article1!$E$3:$E$962,[49]mensuel_section_article1!$B$3:$B$962,C844,[49]mensuel_section_article1!$C$3:$C$962,D844)</f>
        <v>#VALUE!</v>
      </c>
      <c r="G844" s="60" t="e">
        <f>SUMIFS([49]mensuel_section_article1!$G$3:$G$962,[49]mensuel_section_article1!$B$3:$B$962,C844,[49]mensuel_section_article1!$C$3:$C$962,D844)</f>
        <v>#VALUE!</v>
      </c>
      <c r="H844" s="60">
        <v>160547210.80375001</v>
      </c>
      <c r="I844" s="60">
        <v>218398098.88999999</v>
      </c>
      <c r="J844" s="60">
        <v>218395872.25999999</v>
      </c>
      <c r="K844" s="60">
        <f t="shared" si="474"/>
        <v>-57848661.456249982</v>
      </c>
      <c r="L844" s="61">
        <f t="shared" si="471"/>
        <v>1.3603218091839859</v>
      </c>
      <c r="M844" s="60"/>
      <c r="N844" s="24"/>
      <c r="O844" s="9"/>
      <c r="Q844" s="63"/>
      <c r="AK844" s="64"/>
      <c r="AL844" s="64"/>
      <c r="AM844" s="64"/>
      <c r="AN844" s="64"/>
      <c r="AO844" s="11">
        <v>1512211</v>
      </c>
      <c r="AP844" s="65" t="str">
        <f>CONCATENATE(AO844,D844)</f>
        <v>15122118</v>
      </c>
    </row>
    <row r="845" spans="1:42" s="1" customFormat="1" ht="27.75" customHeight="1" thickTop="1" thickBot="1" x14ac:dyDescent="0.3">
      <c r="A845" s="50" t="s">
        <v>20</v>
      </c>
      <c r="B845" s="50" t="s">
        <v>20</v>
      </c>
      <c r="C845" s="50" t="s">
        <v>20</v>
      </c>
      <c r="D845" s="51">
        <v>1512212</v>
      </c>
      <c r="E845" s="67" t="s">
        <v>136</v>
      </c>
      <c r="F845" s="68" t="e">
        <f>SUMIF($B$846:$B$847,"article",F846:F847)</f>
        <v>#VALUE!</v>
      </c>
      <c r="G845" s="68" t="e">
        <f>SUMIF($B$846:$B$847,"article",G846:G847)</f>
        <v>#VALUE!</v>
      </c>
      <c r="H845" s="68">
        <f>SUMIF($B$846:$B$847,"article",H846:H847)</f>
        <v>7057858955.3412495</v>
      </c>
      <c r="I845" s="68">
        <v>8361613240.1599998</v>
      </c>
      <c r="J845" s="68">
        <f>SUMIF($B$846:$B$847,"article",J846:J847)</f>
        <v>8356119290.6700001</v>
      </c>
      <c r="K845" s="68">
        <f>SUMIF($B$846:$B$847,"article",K846:K847)</f>
        <v>-1298260335.3287501</v>
      </c>
      <c r="L845" s="69">
        <f t="shared" si="471"/>
        <v>1.1839453499345227</v>
      </c>
      <c r="M845" s="68"/>
      <c r="N845" s="68"/>
      <c r="O845" s="9"/>
      <c r="Q845" s="23"/>
      <c r="AK845" s="70"/>
      <c r="AL845" s="70"/>
      <c r="AM845" s="70"/>
      <c r="AN845" s="70"/>
      <c r="AO845" s="11">
        <v>1512212</v>
      </c>
    </row>
    <row r="846" spans="1:42" s="62" customFormat="1" ht="27.75" customHeight="1" thickTop="1" thickBot="1" x14ac:dyDescent="0.3">
      <c r="A846" s="56" t="s">
        <v>22</v>
      </c>
      <c r="B846" s="56" t="s">
        <v>22</v>
      </c>
      <c r="C846" s="57">
        <f>IF(A845="SECTION",D845,C845)</f>
        <v>1512212</v>
      </c>
      <c r="D846" s="58">
        <v>2</v>
      </c>
      <c r="E846" s="59" t="str">
        <f>IF(D846=1, "DEPENSES DE PERSONNEL",  +IF(D846=2,"DEPENSES DE SERVICES ET CHARGES DIVERSES", +IF(D846=3,"ACHATS DE BIENS DE CONSOMMATION ET PETITS MATERIELS",+IF(D846=4,"IMMOBILISATION CORPORELLE",+IF(D846=5,"IMMOBILISATION INCORPORELLE",+IF(D846=7,"SUBVENTIONS,QUOTES-PARTS ET CONTRIB.,ALLOC, INDEMNISATIONS",+IF(D846=8,"AMORTISSEMENT DE LA DETTE",+IF(D846=9,"AUTRES DEPENSES PUBLIQUES",0))))))))</f>
        <v>DEPENSES DE SERVICES ET CHARGES DIVERSES</v>
      </c>
      <c r="F846" s="60" t="e">
        <f>SUMIFS([49]mensuel_section_article1!$E$3:$E$962,[49]mensuel_section_article1!$B$3:$B$962,C846,[49]mensuel_section_article1!$C$3:$C$962,D846)</f>
        <v>#VALUE!</v>
      </c>
      <c r="G846" s="60" t="e">
        <f>SUMIFS([49]mensuel_section_article1!$G$3:$G$962,[49]mensuel_section_article1!$B$3:$B$962,C846,[49]mensuel_section_article1!$C$3:$C$962,D846)</f>
        <v>#VALUE!</v>
      </c>
      <c r="H846" s="60">
        <v>1478372581.5</v>
      </c>
      <c r="I846" s="60">
        <v>1560892678.54</v>
      </c>
      <c r="J846" s="60">
        <v>1558489032.0999999</v>
      </c>
      <c r="K846" s="60">
        <f t="shared" ref="K846:K847" si="475">+H846-J846</f>
        <v>-80116450.599999905</v>
      </c>
      <c r="L846" s="61">
        <f t="shared" si="471"/>
        <v>1.0541923271593088</v>
      </c>
      <c r="M846" s="60"/>
      <c r="N846" s="24"/>
      <c r="O846" s="9"/>
      <c r="Q846" s="63"/>
      <c r="AK846" s="64"/>
      <c r="AL846" s="64"/>
      <c r="AM846" s="64"/>
      <c r="AN846" s="64"/>
      <c r="AO846" s="11">
        <v>1512212</v>
      </c>
      <c r="AP846" s="65" t="str">
        <f>CONCATENATE(AO846,D846)</f>
        <v>15122122</v>
      </c>
    </row>
    <row r="847" spans="1:42" s="62" customFormat="1" ht="27.75" customHeight="1" thickTop="1" thickBot="1" x14ac:dyDescent="0.3">
      <c r="A847" s="56" t="s">
        <v>22</v>
      </c>
      <c r="B847" s="56" t="s">
        <v>22</v>
      </c>
      <c r="C847" s="57">
        <f>IF(A846="SECTION",D846,C846)</f>
        <v>1512212</v>
      </c>
      <c r="D847" s="58">
        <v>8</v>
      </c>
      <c r="E847" s="59" t="str">
        <f>IF(D847=1, "DEPENSES DE PERSONNEL",  +IF(D847=2,"DEPENSES DE SERVICES ET CHARGES DIVERSES", +IF(D847=3,"ACHATS DE BIENS DE CONSOMMATION ET PETITS MATERIELS",+IF(D847=4,"IMMOBILISATION CORPORELLE",+IF(D847=5,"IMMOBILISATION INCORPORELLE",+IF(D847=7,"SUBVENTIONS,QUOTES-PARTS ET CONTRIB.,ALLOC, INDEMNISATIONS",+IF(D847=8,"AMORTISSEMENT DE LA DETTE",+IF(D847=9,"AUTRES DEPENSES PUBLIQUES",0))))))))</f>
        <v>AMORTISSEMENT DE LA DETTE</v>
      </c>
      <c r="F847" s="60" t="e">
        <f>SUMIFS([49]mensuel_section_article1!$E$3:$E$962,[49]mensuel_section_article1!$B$3:$B$962,C847,[49]mensuel_section_article1!$C$3:$C$962,D847)</f>
        <v>#VALUE!</v>
      </c>
      <c r="G847" s="60" t="e">
        <f>SUMIFS([49]mensuel_section_article1!$G$3:$G$962,[49]mensuel_section_article1!$B$3:$B$962,C847,[49]mensuel_section_article1!$C$3:$C$962,D847)</f>
        <v>#VALUE!</v>
      </c>
      <c r="H847" s="60">
        <v>5579486373.8412495</v>
      </c>
      <c r="I847" s="60">
        <v>6800720561.6199999</v>
      </c>
      <c r="J847" s="60">
        <v>6797630258.5699997</v>
      </c>
      <c r="K847" s="60">
        <f t="shared" si="475"/>
        <v>-1218143884.7287502</v>
      </c>
      <c r="L847" s="61">
        <f t="shared" si="471"/>
        <v>1.2183254520415843</v>
      </c>
      <c r="M847" s="60"/>
      <c r="N847" s="24"/>
      <c r="O847" s="9"/>
      <c r="Q847" s="63"/>
      <c r="AK847" s="64"/>
      <c r="AL847" s="64"/>
      <c r="AM847" s="64"/>
      <c r="AN847" s="64"/>
      <c r="AO847" s="11">
        <v>1512212</v>
      </c>
      <c r="AP847" s="65" t="str">
        <f>CONCATENATE(AO847,D847)</f>
        <v>15122128</v>
      </c>
    </row>
    <row r="848" spans="1:42" s="1" customFormat="1" ht="27.75" hidden="1" customHeight="1" thickTop="1" thickBot="1" x14ac:dyDescent="0.3">
      <c r="A848" s="50" t="s">
        <v>20</v>
      </c>
      <c r="B848" s="50" t="s">
        <v>20</v>
      </c>
      <c r="C848" s="50" t="s">
        <v>20</v>
      </c>
      <c r="D848" s="51">
        <v>1512213</v>
      </c>
      <c r="E848" s="67" t="s">
        <v>137</v>
      </c>
      <c r="F848" s="68" t="e">
        <f>SUMIF($B$849:$B$849,"article",F849:F849)</f>
        <v>#VALUE!</v>
      </c>
      <c r="G848" s="68" t="e">
        <f>SUMIF($B$849:$B$849,"article",G849:G849)</f>
        <v>#VALUE!</v>
      </c>
      <c r="H848" s="68">
        <f>SUMIF($B$849:$B$849,"article",H849:H849)</f>
        <v>0</v>
      </c>
      <c r="I848" s="68">
        <v>0</v>
      </c>
      <c r="J848" s="68">
        <f>SUMIF($B$849:$B$849,"article",J849:J849)</f>
        <v>0</v>
      </c>
      <c r="K848" s="68">
        <f>SUMIF($B$849:$B$849,"article",K849:K849)</f>
        <v>0</v>
      </c>
      <c r="L848" s="69" t="e">
        <f>IF(F848&lt;&gt;0,K848/F848,0)</f>
        <v>#VALUE!</v>
      </c>
      <c r="M848" s="68" t="e">
        <f>SUMIF($B$849:$B$849,"article",M849:M849)</f>
        <v>#VALUE!</v>
      </c>
      <c r="N848" s="68" t="e">
        <f>SUMIF($B$849:$B$849,"article",N849:N849)</f>
        <v>#VALUE!</v>
      </c>
      <c r="O848" s="9"/>
      <c r="Q848" s="23"/>
      <c r="AK848" s="70"/>
      <c r="AL848" s="70"/>
      <c r="AM848" s="70"/>
      <c r="AN848" s="70"/>
      <c r="AO848" s="11">
        <v>1512213</v>
      </c>
    </row>
    <row r="849" spans="1:42" s="62" customFormat="1" ht="27.75" hidden="1" customHeight="1" thickTop="1" thickBot="1" x14ac:dyDescent="0.3">
      <c r="A849" s="56" t="s">
        <v>22</v>
      </c>
      <c r="B849" s="56" t="s">
        <v>22</v>
      </c>
      <c r="C849" s="57">
        <f>IF(A848="SECTION",D848,C848)</f>
        <v>1512213</v>
      </c>
      <c r="D849" s="58">
        <v>8</v>
      </c>
      <c r="E849" s="59" t="str">
        <f>IF(D849=1, "DEPENSES DE PERSONNEL",  +IF(D849=2,"DEPENSES DE SERVICES ET CHARGES DIVERSES", +IF(D849=3,"ACHATS DE BIENS DE CONSOMMATION ET PETITS MATERIELS",+IF(D849=4,"IMMOBILISATION CORPORELLE",+IF(D849=5,"IMMOBILISATION INCORPORELLE",+IF(D849=7,"SUBVENTIONS,QUOTES-PARTS ET CONTRIB.,ALLOC, INDEMNISATIONS",+IF(D849=8,"AMORTISSEMENT DE LA DETTE",+IF(D849=9,"AUTRES DEPENSES PUBLIQUES",0))))))))</f>
        <v>AMORTISSEMENT DE LA DETTE</v>
      </c>
      <c r="F849" s="60" t="e">
        <f>SUMIFS([49]mensuel_section_article1!$E$3:$E$962,[49]mensuel_section_article1!$B$3:$B$962,C849,[49]mensuel_section_article1!$C$3:$C$962,D849)</f>
        <v>#VALUE!</v>
      </c>
      <c r="G849" s="60" t="e">
        <f>SUMIFS([49]mensuel_section_article1!$G$3:$G$962,[49]mensuel_section_article1!$B$3:$B$962,C849,[49]mensuel_section_article1!$C$3:$C$962,D849)</f>
        <v>#VALUE!</v>
      </c>
      <c r="H849" s="60">
        <v>0</v>
      </c>
      <c r="I849" s="60">
        <v>0</v>
      </c>
      <c r="J849" s="60">
        <v>0</v>
      </c>
      <c r="K849" s="60">
        <f>+H849-J849</f>
        <v>0</v>
      </c>
      <c r="L849" s="61" t="e">
        <f>IF(F849&lt;&gt;0,K849/F849,0)</f>
        <v>#VALUE!</v>
      </c>
      <c r="M849" s="60" t="e">
        <f>+SUMIFS([51]section_article!$H$10:$H$936,[51]section_article!$C$10:$C$936,C849,[51]section_article!$D$10:$D$936,D849)</f>
        <v>#VALUE!</v>
      </c>
      <c r="N849" s="24" t="e">
        <f>+J849-M849</f>
        <v>#VALUE!</v>
      </c>
      <c r="O849" s="9"/>
      <c r="Q849" s="63"/>
      <c r="AK849" s="64"/>
      <c r="AL849" s="64"/>
      <c r="AM849" s="64"/>
      <c r="AN849" s="64"/>
      <c r="AO849" s="11">
        <v>1512213</v>
      </c>
      <c r="AP849" s="65" t="str">
        <f>CONCATENATE(AO849,D849)</f>
        <v>15122138</v>
      </c>
    </row>
    <row r="850" spans="1:42" s="1" customFormat="1" ht="27.75" customHeight="1" thickTop="1" x14ac:dyDescent="0.25">
      <c r="A850" s="113" t="s">
        <v>12</v>
      </c>
      <c r="B850" s="113" t="s">
        <v>12</v>
      </c>
      <c r="C850" s="113" t="s">
        <v>12</v>
      </c>
      <c r="D850" s="26">
        <v>2</v>
      </c>
      <c r="E850" s="114" t="s">
        <v>138</v>
      </c>
      <c r="F850" s="115" t="e">
        <f>SUMIF($B$851:$B$886,"MIN",F851:F886)</f>
        <v>#VALUE!</v>
      </c>
      <c r="G850" s="115" t="e">
        <f>SUMIF($B$851:$B$886,"MIN",G851:G886)</f>
        <v>#VALUE!</v>
      </c>
      <c r="H850" s="115">
        <f>SUMIF($B$851:$B$886,"MIN",H851:H886)</f>
        <v>5912643489.0344601</v>
      </c>
      <c r="I850" s="115">
        <v>5967643489.3999996</v>
      </c>
      <c r="J850" s="115">
        <f>SUMIF($B$851:$B$886,"MIN",J851:J886)</f>
        <v>5443155556.8899994</v>
      </c>
      <c r="K850" s="115">
        <f>SUMIF($B$851:$B$886,"MIN",K851:K886)</f>
        <v>469487932.14445984</v>
      </c>
      <c r="L850" s="116">
        <f t="shared" ref="L850:L867" si="476">+J850/H850</f>
        <v>0.92059593428638664</v>
      </c>
      <c r="M850" s="115"/>
      <c r="N850" s="115"/>
      <c r="O850" s="9"/>
      <c r="Q850" s="23"/>
      <c r="AK850" s="117"/>
      <c r="AL850" s="117"/>
      <c r="AM850" s="117"/>
      <c r="AN850" s="117"/>
      <c r="AO850" s="11"/>
      <c r="AP850" s="118"/>
    </row>
    <row r="851" spans="1:42" s="1" customFormat="1" ht="27.75" customHeight="1" x14ac:dyDescent="0.25">
      <c r="A851" s="37" t="s">
        <v>16</v>
      </c>
      <c r="B851" s="37" t="s">
        <v>16</v>
      </c>
      <c r="C851" s="37" t="s">
        <v>16</v>
      </c>
      <c r="D851" s="73">
        <v>2211</v>
      </c>
      <c r="E851" s="74" t="s">
        <v>139</v>
      </c>
      <c r="F851" s="75" t="e">
        <f>SUMIF($B$852:$B$860,"chap",F852:F860)</f>
        <v>#VALUE!</v>
      </c>
      <c r="G851" s="75" t="e">
        <f>SUMIF($B$852:$B$860,"chap",G852:G860)</f>
        <v>#VALUE!</v>
      </c>
      <c r="H851" s="75">
        <f>SUMIF($B$852:$B$860,"chap",H852:H860)</f>
        <v>2230859901.1819997</v>
      </c>
      <c r="I851" s="75">
        <v>2305859901.1999998</v>
      </c>
      <c r="J851" s="75">
        <f>SUMIF($B$852:$B$860,"chap",J852:J860)</f>
        <v>1851748361.3299999</v>
      </c>
      <c r="K851" s="75">
        <f>SUMIF($B$852:$B$860,"chap",K852:K860)</f>
        <v>379111539.85200012</v>
      </c>
      <c r="L851" s="76">
        <f t="shared" si="476"/>
        <v>0.83006035491017116</v>
      </c>
      <c r="M851" s="75"/>
      <c r="N851" s="75"/>
      <c r="O851" s="9"/>
      <c r="Q851" s="23"/>
      <c r="AK851" s="77"/>
      <c r="AL851" s="77"/>
      <c r="AM851" s="77"/>
      <c r="AN851" s="77"/>
      <c r="AO851" s="11"/>
    </row>
    <row r="852" spans="1:42" s="49" customFormat="1" ht="27.75" customHeight="1" x14ac:dyDescent="0.25">
      <c r="A852" s="43" t="s">
        <v>19</v>
      </c>
      <c r="B852" s="43" t="s">
        <v>19</v>
      </c>
      <c r="C852" s="43" t="s">
        <v>19</v>
      </c>
      <c r="D852" s="44">
        <v>22111</v>
      </c>
      <c r="E852" s="45" t="str">
        <f>VLOOKUP(D852,[49]INST!$A$1:$B$626,2,FALSE)</f>
        <v>SERVICES INTERNES</v>
      </c>
      <c r="F852" s="46" t="e">
        <f>SUMIF($B$853:$B$860,"section",F853:F860)</f>
        <v>#VALUE!</v>
      </c>
      <c r="G852" s="46" t="e">
        <f>SUMIF($B$853:$B$860,"section",G853:G860)</f>
        <v>#VALUE!</v>
      </c>
      <c r="H852" s="46">
        <f>SUMIF($B$853:$B$860,"section",H853:H860)</f>
        <v>2230859901.1819997</v>
      </c>
      <c r="I852" s="46">
        <v>2305859901.1999998</v>
      </c>
      <c r="J852" s="46">
        <f>SUMIF($B$853:$B$860,"section",J853:J860)</f>
        <v>1851748361.3299999</v>
      </c>
      <c r="K852" s="46">
        <f>SUMIF($B$853:$B$860,"section",K853:K860)</f>
        <v>379111539.85200012</v>
      </c>
      <c r="L852" s="47">
        <f t="shared" si="476"/>
        <v>0.83006035491017116</v>
      </c>
      <c r="M852" s="46"/>
      <c r="N852" s="46"/>
      <c r="O852" s="48"/>
      <c r="AO852" s="11"/>
    </row>
    <row r="853" spans="1:42" s="1" customFormat="1" ht="27.75" customHeight="1" thickBot="1" x14ac:dyDescent="0.3">
      <c r="A853" s="50" t="s">
        <v>20</v>
      </c>
      <c r="B853" s="50" t="s">
        <v>20</v>
      </c>
      <c r="C853" s="50" t="s">
        <v>20</v>
      </c>
      <c r="D853" s="51">
        <v>2211111</v>
      </c>
      <c r="E853" s="67" t="s">
        <v>140</v>
      </c>
      <c r="F853" s="68" t="e">
        <f>SUMIF($B$854:$B$860,"article",F854:F860)</f>
        <v>#VALUE!</v>
      </c>
      <c r="G853" s="68" t="e">
        <f>SUMIF($B$854:$B$860,"article",G854:G860)</f>
        <v>#VALUE!</v>
      </c>
      <c r="H853" s="68">
        <f>SUMIF($B$854:$B$860,"article",H854:H860)</f>
        <v>2230859901.1819997</v>
      </c>
      <c r="I853" s="68">
        <v>2305859901.1999998</v>
      </c>
      <c r="J853" s="68">
        <f>SUMIF($B$854:$B$860,"article",J854:J860)</f>
        <v>1851748361.3299999</v>
      </c>
      <c r="K853" s="68">
        <f>SUMIF($B$854:$B$860,"article",K854:K860)</f>
        <v>379111539.85200012</v>
      </c>
      <c r="L853" s="69">
        <f t="shared" si="476"/>
        <v>0.83006035491017116</v>
      </c>
      <c r="M853" s="68"/>
      <c r="N853" s="68"/>
      <c r="O853" s="9"/>
      <c r="Q853" s="23"/>
      <c r="AK853" s="70"/>
      <c r="AL853" s="70"/>
      <c r="AM853" s="70"/>
      <c r="AN853" s="70"/>
      <c r="AO853" s="11">
        <v>2211111</v>
      </c>
    </row>
    <row r="854" spans="1:42" s="62" customFormat="1" ht="27.75" customHeight="1" thickTop="1" thickBot="1" x14ac:dyDescent="0.3">
      <c r="A854" s="56" t="s">
        <v>22</v>
      </c>
      <c r="B854" s="56" t="s">
        <v>22</v>
      </c>
      <c r="C854" s="57">
        <f t="shared" ref="C854:C860" si="477">IF(A853="SECTION",D853,C853)</f>
        <v>2211111</v>
      </c>
      <c r="D854" s="58">
        <v>1</v>
      </c>
      <c r="E854" s="59" t="str">
        <f t="shared" ref="E854:E860" si="478">IF(D854=1, "DEPENSES DE PERSONNEL",  +IF(D854=2,"DEPENSES DE SERVICES ET CHARGES DIVERSES", +IF(D854=3,"ACHATS DE BIENS DE CONSOMMATION ET PETITS MATERIELS",+IF(D854=4,"IMMOBILISATION CORPORELLE",+IF(D854=5,"IMMOBILISATION INCORPORELLE",+IF(D854=7,"SUBVENTIONS,QUOTES-PARTS ET CONTRIB.,ALLOC, INDEMNISATIONS",+IF(D854=8,"AMORTISSEMENT DE LA DETTE",+IF(D854=9,"AUTRES DEPENSES PUBLIQUES",0))))))))</f>
        <v>DEPENSES DE PERSONNEL</v>
      </c>
      <c r="F854" s="60" t="e">
        <f>SUMIFS([49]mensuel_section_article1!$E$3:$E$962,[49]mensuel_section_article1!$B$3:$B$962,C854,[49]mensuel_section_article1!$C$3:$C$962,D854)</f>
        <v>#VALUE!</v>
      </c>
      <c r="G854" s="60" t="e">
        <f>SUMIFS([49]mensuel_section_article1!$G$3:$G$962,[49]mensuel_section_article1!$B$3:$B$962,C854,[49]mensuel_section_article1!$C$3:$C$962,D854)</f>
        <v>#VALUE!</v>
      </c>
      <c r="H854" s="60">
        <v>1335509900.4400001</v>
      </c>
      <c r="I854" s="60">
        <v>1410509900.3999999</v>
      </c>
      <c r="J854" s="60">
        <v>1335409870.5999999</v>
      </c>
      <c r="K854" s="60">
        <f t="shared" ref="K854:K860" si="479">+H854-J854</f>
        <v>100029.84000015259</v>
      </c>
      <c r="L854" s="61">
        <f t="shared" si="476"/>
        <v>0.9999250998888386</v>
      </c>
      <c r="M854" s="60"/>
      <c r="N854" s="24"/>
      <c r="O854" s="9"/>
      <c r="Q854" s="63"/>
      <c r="AK854" s="64"/>
      <c r="AL854" s="64"/>
      <c r="AM854" s="64"/>
      <c r="AN854" s="64"/>
      <c r="AO854" s="11">
        <v>2211111</v>
      </c>
      <c r="AP854" s="65" t="str">
        <f t="shared" ref="AP854:AP860" si="480">CONCATENATE(AO854,D854)</f>
        <v>22111111</v>
      </c>
    </row>
    <row r="855" spans="1:42" s="62" customFormat="1" ht="27.75" customHeight="1" thickTop="1" thickBot="1" x14ac:dyDescent="0.3">
      <c r="A855" s="56" t="s">
        <v>22</v>
      </c>
      <c r="B855" s="56" t="s">
        <v>22</v>
      </c>
      <c r="C855" s="57">
        <f t="shared" si="477"/>
        <v>2211111</v>
      </c>
      <c r="D855" s="58">
        <v>2</v>
      </c>
      <c r="E855" s="59" t="str">
        <f t="shared" si="478"/>
        <v>DEPENSES DE SERVICES ET CHARGES DIVERSES</v>
      </c>
      <c r="F855" s="60" t="e">
        <f>SUMIFS([49]mensuel_section_article1!$E$3:$E$962,[49]mensuel_section_article1!$B$3:$B$962,C855,[49]mensuel_section_article1!$C$3:$C$962,D855)</f>
        <v>#VALUE!</v>
      </c>
      <c r="G855" s="60" t="e">
        <f>SUMIFS([49]mensuel_section_article1!$G$3:$G$962,[49]mensuel_section_article1!$B$3:$B$962,C855,[49]mensuel_section_article1!$C$3:$C$962,D855)</f>
        <v>#VALUE!</v>
      </c>
      <c r="H855" s="60">
        <v>254350000.215</v>
      </c>
      <c r="I855" s="60">
        <v>256369000.19999999</v>
      </c>
      <c r="J855" s="60">
        <v>156661634.54000002</v>
      </c>
      <c r="K855" s="60">
        <f t="shared" si="479"/>
        <v>97688365.674999982</v>
      </c>
      <c r="L855" s="61">
        <f t="shared" si="476"/>
        <v>0.61592936665058073</v>
      </c>
      <c r="M855" s="60"/>
      <c r="N855" s="24"/>
      <c r="O855" s="9"/>
      <c r="Q855" s="66"/>
      <c r="AK855" s="64"/>
      <c r="AL855" s="64"/>
      <c r="AM855" s="64"/>
      <c r="AN855" s="64"/>
      <c r="AO855" s="11">
        <v>2211111</v>
      </c>
      <c r="AP855" s="65" t="str">
        <f t="shared" si="480"/>
        <v>22111112</v>
      </c>
    </row>
    <row r="856" spans="1:42" s="62" customFormat="1" ht="27.75" customHeight="1" thickTop="1" thickBot="1" x14ac:dyDescent="0.3">
      <c r="A856" s="56" t="s">
        <v>22</v>
      </c>
      <c r="B856" s="56" t="s">
        <v>22</v>
      </c>
      <c r="C856" s="57">
        <f t="shared" si="477"/>
        <v>2211111</v>
      </c>
      <c r="D856" s="58">
        <v>3</v>
      </c>
      <c r="E856" s="59" t="str">
        <f t="shared" si="478"/>
        <v>ACHATS DE BIENS DE CONSOMMATION ET PETITS MATERIELS</v>
      </c>
      <c r="F856" s="60" t="e">
        <f>SUMIFS([49]mensuel_section_article1!$E$3:$E$962,[49]mensuel_section_article1!$B$3:$B$962,C856,[49]mensuel_section_article1!$C$3:$C$962,D856)</f>
        <v>#VALUE!</v>
      </c>
      <c r="G856" s="60" t="e">
        <f>SUMIFS([49]mensuel_section_article1!$G$3:$G$962,[49]mensuel_section_article1!$B$3:$B$962,C856,[49]mensuel_section_article1!$C$3:$C$962,D856)</f>
        <v>#VALUE!</v>
      </c>
      <c r="H856" s="60">
        <v>181500000.303</v>
      </c>
      <c r="I856" s="60">
        <v>196000000.30000001</v>
      </c>
      <c r="J856" s="60">
        <v>109730514.47</v>
      </c>
      <c r="K856" s="60">
        <f t="shared" si="479"/>
        <v>71769485.833000004</v>
      </c>
      <c r="L856" s="61">
        <f t="shared" si="476"/>
        <v>0.60457583629098355</v>
      </c>
      <c r="M856" s="60"/>
      <c r="N856" s="24"/>
      <c r="O856" s="9"/>
      <c r="Q856" s="63"/>
      <c r="AK856" s="64"/>
      <c r="AL856" s="64"/>
      <c r="AM856" s="64"/>
      <c r="AN856" s="64"/>
      <c r="AO856" s="11">
        <v>2211111</v>
      </c>
      <c r="AP856" s="65" t="str">
        <f t="shared" si="480"/>
        <v>22111113</v>
      </c>
    </row>
    <row r="857" spans="1:42" s="62" customFormat="1" ht="27.75" customHeight="1" thickTop="1" thickBot="1" x14ac:dyDescent="0.3">
      <c r="A857" s="56" t="s">
        <v>22</v>
      </c>
      <c r="B857" s="56" t="s">
        <v>22</v>
      </c>
      <c r="C857" s="57">
        <f t="shared" si="477"/>
        <v>2211111</v>
      </c>
      <c r="D857" s="58">
        <v>4</v>
      </c>
      <c r="E857" s="59" t="str">
        <f t="shared" si="478"/>
        <v>IMMOBILISATION CORPORELLE</v>
      </c>
      <c r="F857" s="60" t="e">
        <f>SUMIFS([49]mensuel_section_article1!$E$3:$E$962,[49]mensuel_section_article1!$B$3:$B$962,C857,[49]mensuel_section_article1!$C$3:$C$962,D857)</f>
        <v>#VALUE!</v>
      </c>
      <c r="G857" s="60" t="e">
        <f>SUMIFS([49]mensuel_section_article1!$G$3:$G$962,[49]mensuel_section_article1!$B$3:$B$962,C857,[49]mensuel_section_article1!$C$3:$C$962,D857)</f>
        <v>#VALUE!</v>
      </c>
      <c r="H857" s="60">
        <v>133500000.25400001</v>
      </c>
      <c r="I857" s="60">
        <v>144500000.29999998</v>
      </c>
      <c r="J857" s="60">
        <v>82599402.609999999</v>
      </c>
      <c r="K857" s="60">
        <f t="shared" si="479"/>
        <v>50900597.644000009</v>
      </c>
      <c r="L857" s="61">
        <f t="shared" si="476"/>
        <v>0.61872211575164482</v>
      </c>
      <c r="M857" s="60"/>
      <c r="N857" s="24"/>
      <c r="O857" s="9"/>
      <c r="Q857" s="66"/>
      <c r="AK857" s="64"/>
      <c r="AL857" s="64"/>
      <c r="AM857" s="64"/>
      <c r="AN857" s="64"/>
      <c r="AO857" s="11">
        <v>2211111</v>
      </c>
      <c r="AP857" s="65" t="str">
        <f t="shared" si="480"/>
        <v>22111114</v>
      </c>
    </row>
    <row r="858" spans="1:42" s="62" customFormat="1" ht="27.75" customHeight="1" thickTop="1" thickBot="1" x14ac:dyDescent="0.3">
      <c r="A858" s="56" t="s">
        <v>22</v>
      </c>
      <c r="B858" s="56" t="s">
        <v>22</v>
      </c>
      <c r="C858" s="57">
        <f t="shared" si="477"/>
        <v>2211111</v>
      </c>
      <c r="D858" s="58">
        <v>5</v>
      </c>
      <c r="E858" s="59" t="str">
        <f t="shared" si="478"/>
        <v>IMMOBILISATION INCORPORELLE</v>
      </c>
      <c r="F858" s="60" t="e">
        <f>SUMIFS([49]mensuel_section_article1!$E$3:$E$962,[49]mensuel_section_article1!$B$3:$B$962,C858,[49]mensuel_section_article1!$C$3:$C$962,D858)</f>
        <v>#VALUE!</v>
      </c>
      <c r="G858" s="60" t="e">
        <f>SUMIFS([49]mensuel_section_article1!$G$3:$G$962,[49]mensuel_section_article1!$B$3:$B$962,C858,[49]mensuel_section_article1!$C$3:$C$962,D858)</f>
        <v>#VALUE!</v>
      </c>
      <c r="H858" s="60">
        <v>11000000</v>
      </c>
      <c r="I858" s="60">
        <v>4000000</v>
      </c>
      <c r="J858" s="60">
        <v>0</v>
      </c>
      <c r="K858" s="60">
        <f t="shared" si="479"/>
        <v>11000000</v>
      </c>
      <c r="L858" s="61">
        <f t="shared" si="476"/>
        <v>0</v>
      </c>
      <c r="M858" s="60"/>
      <c r="N858" s="24"/>
      <c r="O858" s="9"/>
      <c r="Q858" s="63"/>
      <c r="AK858" s="64"/>
      <c r="AL858" s="64"/>
      <c r="AM858" s="64"/>
      <c r="AN858" s="64"/>
      <c r="AO858" s="11">
        <v>2211111</v>
      </c>
      <c r="AP858" s="65" t="str">
        <f t="shared" si="480"/>
        <v>22111115</v>
      </c>
    </row>
    <row r="859" spans="1:42" s="62" customFormat="1" ht="27.75" customHeight="1" thickTop="1" thickBot="1" x14ac:dyDescent="0.3">
      <c r="A859" s="56" t="s">
        <v>22</v>
      </c>
      <c r="B859" s="56" t="s">
        <v>22</v>
      </c>
      <c r="C859" s="57">
        <f t="shared" si="477"/>
        <v>2211111</v>
      </c>
      <c r="D859" s="58">
        <v>7</v>
      </c>
      <c r="E859" s="59" t="str">
        <f t="shared" si="478"/>
        <v>SUBVENTIONS,QUOTES-PARTS ET CONTRIB.,ALLOC, INDEMNISATIONS</v>
      </c>
      <c r="F859" s="60" t="e">
        <f>SUMIFS([49]mensuel_section_article1!$E$3:$E$962,[49]mensuel_section_article1!$B$3:$B$962,C859,[49]mensuel_section_article1!$C$3:$C$962,D859)</f>
        <v>#VALUE!</v>
      </c>
      <c r="G859" s="60" t="e">
        <f>SUMIFS([49]mensuel_section_article1!$G$3:$G$962,[49]mensuel_section_article1!$B$3:$B$962,C859,[49]mensuel_section_article1!$C$3:$C$962,D859)</f>
        <v>#VALUE!</v>
      </c>
      <c r="H859" s="60">
        <v>263000000</v>
      </c>
      <c r="I859" s="60">
        <v>263000000</v>
      </c>
      <c r="J859" s="60">
        <v>135866976.11000001</v>
      </c>
      <c r="K859" s="60">
        <f t="shared" si="479"/>
        <v>127133023.88999999</v>
      </c>
      <c r="L859" s="61">
        <f t="shared" si="476"/>
        <v>0.51660447190114078</v>
      </c>
      <c r="M859" s="60"/>
      <c r="N859" s="24"/>
      <c r="O859" s="9"/>
      <c r="Q859" s="63"/>
      <c r="AK859" s="64"/>
      <c r="AL859" s="64"/>
      <c r="AM859" s="64"/>
      <c r="AN859" s="64"/>
      <c r="AO859" s="11">
        <v>2211111</v>
      </c>
      <c r="AP859" s="65" t="str">
        <f t="shared" si="480"/>
        <v>22111117</v>
      </c>
    </row>
    <row r="860" spans="1:42" s="62" customFormat="1" ht="27.75" customHeight="1" thickTop="1" thickBot="1" x14ac:dyDescent="0.3">
      <c r="A860" s="56" t="s">
        <v>22</v>
      </c>
      <c r="B860" s="56" t="s">
        <v>22</v>
      </c>
      <c r="C860" s="57">
        <f t="shared" si="477"/>
        <v>2211111</v>
      </c>
      <c r="D860" s="58">
        <v>9</v>
      </c>
      <c r="E860" s="59" t="str">
        <f t="shared" si="478"/>
        <v>AUTRES DEPENSES PUBLIQUES</v>
      </c>
      <c r="F860" s="60" t="e">
        <f>SUMIFS([49]mensuel_section_article1!$E$3:$E$962,[49]mensuel_section_article1!$B$3:$B$962,C860,[49]mensuel_section_article1!$C$3:$C$962,D860)</f>
        <v>#VALUE!</v>
      </c>
      <c r="G860" s="60" t="e">
        <f>SUMIFS([49]mensuel_section_article1!$G$3:$G$962,[49]mensuel_section_article1!$B$3:$B$962,C860,[49]mensuel_section_article1!$C$3:$C$962,D860)</f>
        <v>#VALUE!</v>
      </c>
      <c r="H860" s="60">
        <v>51999999.969999999</v>
      </c>
      <c r="I860" s="60">
        <v>31481000</v>
      </c>
      <c r="J860" s="60">
        <v>31479963</v>
      </c>
      <c r="K860" s="60">
        <f t="shared" si="479"/>
        <v>20520036.969999999</v>
      </c>
      <c r="L860" s="61">
        <f t="shared" si="476"/>
        <v>0.60538390419541377</v>
      </c>
      <c r="M860" s="60"/>
      <c r="N860" s="24"/>
      <c r="O860" s="9"/>
      <c r="Q860" s="63"/>
      <c r="AK860" s="64"/>
      <c r="AL860" s="64"/>
      <c r="AM860" s="64"/>
      <c r="AN860" s="64"/>
      <c r="AO860" s="11">
        <v>2211111</v>
      </c>
      <c r="AP860" s="65" t="str">
        <f t="shared" si="480"/>
        <v>22111119</v>
      </c>
    </row>
    <row r="861" spans="1:42" s="1" customFormat="1" ht="27.75" customHeight="1" thickTop="1" x14ac:dyDescent="0.25">
      <c r="A861" s="37" t="s">
        <v>16</v>
      </c>
      <c r="B861" s="37" t="s">
        <v>16</v>
      </c>
      <c r="C861" s="37" t="s">
        <v>16</v>
      </c>
      <c r="D861" s="73">
        <v>2212</v>
      </c>
      <c r="E861" s="74" t="s">
        <v>141</v>
      </c>
      <c r="F861" s="75" t="e">
        <f>SUMIF($B$862:$B$886,"chap",F862:F886)</f>
        <v>#VALUE!</v>
      </c>
      <c r="G861" s="75" t="e">
        <f>SUMIF($B$862:$B$886,"chap",G862:G886)</f>
        <v>#VALUE!</v>
      </c>
      <c r="H861" s="75">
        <f>SUMIF($B$862:$B$886,"chap",H862:H886)</f>
        <v>3681783587.8524599</v>
      </c>
      <c r="I861" s="75">
        <v>3661783588.2000003</v>
      </c>
      <c r="J861" s="75">
        <f>SUMIF($B$862:$B$886,"chap",J862:J886)</f>
        <v>3591407195.5599999</v>
      </c>
      <c r="K861" s="75">
        <f>SUMIF($B$862:$B$886,"chap",K862:K886)</f>
        <v>90376392.292459726</v>
      </c>
      <c r="L861" s="76">
        <f t="shared" si="476"/>
        <v>0.97545309491012877</v>
      </c>
      <c r="M861" s="75"/>
      <c r="N861" s="75"/>
      <c r="O861" s="9"/>
      <c r="Q861" s="23"/>
      <c r="AK861" s="77"/>
      <c r="AL861" s="77"/>
      <c r="AM861" s="77"/>
      <c r="AN861" s="77"/>
      <c r="AO861" s="11"/>
    </row>
    <row r="862" spans="1:42" s="49" customFormat="1" ht="27.75" customHeight="1" x14ac:dyDescent="0.25">
      <c r="A862" s="43" t="s">
        <v>19</v>
      </c>
      <c r="B862" s="43" t="s">
        <v>19</v>
      </c>
      <c r="C862" s="43" t="s">
        <v>19</v>
      </c>
      <c r="D862" s="44">
        <v>22121</v>
      </c>
      <c r="E862" s="45" t="str">
        <f>VLOOKUP(D862,[49]INST!$A$1:$B$626,2,FALSE)</f>
        <v>SERVICES INTERNES</v>
      </c>
      <c r="F862" s="46" t="e">
        <f>SUMIF($B$863:$B$886,"section",F863:F886)</f>
        <v>#VALUE!</v>
      </c>
      <c r="G862" s="46" t="e">
        <f>SUMIF($B$863:$B$886,"section",G863:G886)</f>
        <v>#VALUE!</v>
      </c>
      <c r="H862" s="46">
        <f>SUMIF($B$863:$B$886,"section",H863:H886)</f>
        <v>3681783587.8524599</v>
      </c>
      <c r="I862" s="46">
        <v>3661783588.2000003</v>
      </c>
      <c r="J862" s="46">
        <f>SUMIF($B$863:$B$886,"section",J863:J886)</f>
        <v>3591407195.5599999</v>
      </c>
      <c r="K862" s="46">
        <f>SUMIF($B$863:$B$886,"section",K863:K886)</f>
        <v>90376392.292459726</v>
      </c>
      <c r="L862" s="47">
        <f t="shared" si="476"/>
        <v>0.97545309491012877</v>
      </c>
      <c r="M862" s="46"/>
      <c r="N862" s="46"/>
      <c r="O862" s="48"/>
      <c r="AO862" s="11"/>
    </row>
    <row r="863" spans="1:42" s="1" customFormat="1" ht="27.75" customHeight="1" thickBot="1" x14ac:dyDescent="0.3">
      <c r="A863" s="50" t="s">
        <v>20</v>
      </c>
      <c r="B863" s="50" t="s">
        <v>20</v>
      </c>
      <c r="C863" s="50" t="s">
        <v>20</v>
      </c>
      <c r="D863" s="51">
        <v>2212111</v>
      </c>
      <c r="E863" s="67" t="s">
        <v>141</v>
      </c>
      <c r="F863" s="68" t="e">
        <f>SUMIF($B$864:$B$870,"article",F864:F870)</f>
        <v>#VALUE!</v>
      </c>
      <c r="G863" s="68" t="e">
        <f>SUMIF($B$864:$B$870,"article",G864:G870)</f>
        <v>#VALUE!</v>
      </c>
      <c r="H863" s="68">
        <f>SUMIF($B$864:$B$870,"article",H864:H870)</f>
        <v>1560195459.9372699</v>
      </c>
      <c r="I863" s="68">
        <v>1024931731.75</v>
      </c>
      <c r="J863" s="68">
        <f>SUMIF($B$864:$B$870,"article",J864:J870)</f>
        <v>1012701510.3099998</v>
      </c>
      <c r="K863" s="68">
        <f>SUMIF($B$864:$B$870,"article",K864:K870)</f>
        <v>547493949.62726998</v>
      </c>
      <c r="L863" s="69">
        <f t="shared" si="476"/>
        <v>0.64908630765450182</v>
      </c>
      <c r="M863" s="68"/>
      <c r="N863" s="68"/>
      <c r="O863" s="9"/>
      <c r="Q863" s="23"/>
      <c r="AK863" s="70"/>
      <c r="AL863" s="70"/>
      <c r="AM863" s="70"/>
      <c r="AN863" s="70"/>
      <c r="AO863" s="11">
        <v>2212111</v>
      </c>
    </row>
    <row r="864" spans="1:42" s="62" customFormat="1" ht="27.75" customHeight="1" thickTop="1" thickBot="1" x14ac:dyDescent="0.3">
      <c r="A864" s="56" t="s">
        <v>22</v>
      </c>
      <c r="B864" s="56" t="s">
        <v>22</v>
      </c>
      <c r="C864" s="57">
        <f t="shared" ref="C864:C870" si="481">IF(A863="SECTION",D863,C863)</f>
        <v>2212111</v>
      </c>
      <c r="D864" s="58">
        <v>1</v>
      </c>
      <c r="E864" s="59" t="str">
        <f t="shared" ref="E864:E870" si="482">IF(D864=1, "DEPENSES DE PERSONNEL",  +IF(D864=2,"DEPENSES DE SERVICES ET CHARGES DIVERSES", +IF(D864=3,"ACHATS DE BIENS DE CONSOMMATION ET PETITS MATERIELS",+IF(D864=4,"IMMOBILISATION CORPORELLE",+IF(D864=5,"IMMOBILISATION INCORPORELLE",+IF(D864=7,"SUBVENTIONS,QUOTES-PARTS ET CONTRIB.,ALLOC, INDEMNISATIONS",+IF(D864=8,"AMORTISSEMENT DE LA DETTE",+IF(D864=9,"AUTRES DEPENSES PUBLIQUES",0))))))))</f>
        <v>DEPENSES DE PERSONNEL</v>
      </c>
      <c r="F864" s="60" t="e">
        <f>SUMIFS([49]mensuel_section_article1!$E$3:$E$962,[49]mensuel_section_article1!$B$3:$B$962,C864,[49]mensuel_section_article1!$C$3:$C$962,D864)</f>
        <v>#VALUE!</v>
      </c>
      <c r="G864" s="60" t="e">
        <f>SUMIFS([49]mensuel_section_article1!$G$3:$G$962,[49]mensuel_section_article1!$B$3:$B$962,C864,[49]mensuel_section_article1!$C$3:$C$962,D864)</f>
        <v>#VALUE!</v>
      </c>
      <c r="H864" s="60">
        <v>1169534173.75881</v>
      </c>
      <c r="I864" s="60">
        <v>870512471.79999995</v>
      </c>
      <c r="J864" s="60">
        <v>858282255.32999992</v>
      </c>
      <c r="K864" s="60">
        <f t="shared" ref="K864:K870" si="483">+H864-J864</f>
        <v>311251918.42881012</v>
      </c>
      <c r="L864" s="61">
        <f t="shared" si="476"/>
        <v>0.73386676044833665</v>
      </c>
      <c r="M864" s="60"/>
      <c r="N864" s="24"/>
      <c r="O864" s="9"/>
      <c r="Q864" s="63"/>
      <c r="AK864" s="64"/>
      <c r="AL864" s="64"/>
      <c r="AM864" s="64"/>
      <c r="AN864" s="64"/>
      <c r="AO864" s="11">
        <v>2212111</v>
      </c>
      <c r="AP864" s="65" t="str">
        <f t="shared" ref="AP864:AP870" si="484">CONCATENATE(AO864,D864)</f>
        <v>22121111</v>
      </c>
    </row>
    <row r="865" spans="1:42" s="62" customFormat="1" ht="27.75" customHeight="1" thickTop="1" thickBot="1" x14ac:dyDescent="0.3">
      <c r="A865" s="56" t="s">
        <v>22</v>
      </c>
      <c r="B865" s="56" t="s">
        <v>22</v>
      </c>
      <c r="C865" s="57">
        <f t="shared" si="481"/>
        <v>2212111</v>
      </c>
      <c r="D865" s="58">
        <v>2</v>
      </c>
      <c r="E865" s="59" t="str">
        <f t="shared" si="482"/>
        <v>DEPENSES DE SERVICES ET CHARGES DIVERSES</v>
      </c>
      <c r="F865" s="60" t="e">
        <f>SUMIFS([49]mensuel_section_article1!$E$3:$E$962,[49]mensuel_section_article1!$B$3:$B$962,C865,[49]mensuel_section_article1!$C$3:$C$962,D865)</f>
        <v>#VALUE!</v>
      </c>
      <c r="G865" s="60" t="e">
        <f>SUMIFS([49]mensuel_section_article1!$G$3:$G$962,[49]mensuel_section_article1!$B$3:$B$962,C865,[49]mensuel_section_article1!$C$3:$C$962,D865)</f>
        <v>#VALUE!</v>
      </c>
      <c r="H865" s="60">
        <v>157399572.20999998</v>
      </c>
      <c r="I865" s="60">
        <v>73943369.220000014</v>
      </c>
      <c r="J865" s="60">
        <v>73943365.300000012</v>
      </c>
      <c r="K865" s="60">
        <f t="shared" si="483"/>
        <v>83456206.909999967</v>
      </c>
      <c r="L865" s="61">
        <f t="shared" si="476"/>
        <v>0.46978123422944229</v>
      </c>
      <c r="M865" s="60"/>
      <c r="N865" s="24"/>
      <c r="O865" s="9"/>
      <c r="Q865" s="63"/>
      <c r="AK865" s="64"/>
      <c r="AL865" s="64"/>
      <c r="AM865" s="64"/>
      <c r="AN865" s="64"/>
      <c r="AO865" s="11">
        <v>2212111</v>
      </c>
      <c r="AP865" s="65" t="str">
        <f t="shared" si="484"/>
        <v>22121112</v>
      </c>
    </row>
    <row r="866" spans="1:42" s="62" customFormat="1" ht="27.75" customHeight="1" thickTop="1" thickBot="1" x14ac:dyDescent="0.3">
      <c r="A866" s="56" t="s">
        <v>22</v>
      </c>
      <c r="B866" s="56" t="s">
        <v>22</v>
      </c>
      <c r="C866" s="57">
        <f t="shared" si="481"/>
        <v>2212111</v>
      </c>
      <c r="D866" s="58">
        <v>3</v>
      </c>
      <c r="E866" s="59" t="str">
        <f t="shared" si="482"/>
        <v>ACHATS DE BIENS DE CONSOMMATION ET PETITS MATERIELS</v>
      </c>
      <c r="F866" s="60" t="e">
        <f>SUMIFS([49]mensuel_section_article1!$E$3:$E$962,[49]mensuel_section_article1!$B$3:$B$962,C866,[49]mensuel_section_article1!$C$3:$C$962,D866)</f>
        <v>#VALUE!</v>
      </c>
      <c r="G866" s="60" t="e">
        <f>SUMIFS([49]mensuel_section_article1!$G$3:$G$962,[49]mensuel_section_article1!$B$3:$B$962,C866,[49]mensuel_section_article1!$C$3:$C$962,D866)</f>
        <v>#VALUE!</v>
      </c>
      <c r="H866" s="60">
        <v>229891713.65546</v>
      </c>
      <c r="I866" s="60">
        <v>56671230.710000008</v>
      </c>
      <c r="J866" s="60">
        <v>56671229.68</v>
      </c>
      <c r="K866" s="60">
        <f t="shared" si="483"/>
        <v>173220483.97545999</v>
      </c>
      <c r="L866" s="61">
        <f t="shared" si="476"/>
        <v>0.24651271148003834</v>
      </c>
      <c r="M866" s="60"/>
      <c r="N866" s="24"/>
      <c r="O866" s="9"/>
      <c r="Q866" s="63"/>
      <c r="AK866" s="64"/>
      <c r="AL866" s="64"/>
      <c r="AM866" s="64"/>
      <c r="AN866" s="64"/>
      <c r="AO866" s="11">
        <v>2212111</v>
      </c>
      <c r="AP866" s="65" t="str">
        <f t="shared" si="484"/>
        <v>22121113</v>
      </c>
    </row>
    <row r="867" spans="1:42" s="62" customFormat="1" ht="27.75" customHeight="1" thickTop="1" thickBot="1" x14ac:dyDescent="0.3">
      <c r="A867" s="56" t="s">
        <v>22</v>
      </c>
      <c r="B867" s="56" t="s">
        <v>22</v>
      </c>
      <c r="C867" s="57">
        <f t="shared" si="481"/>
        <v>2212111</v>
      </c>
      <c r="D867" s="58">
        <v>4</v>
      </c>
      <c r="E867" s="59" t="str">
        <f t="shared" si="482"/>
        <v>IMMOBILISATION CORPORELLE</v>
      </c>
      <c r="F867" s="60" t="e">
        <f>SUMIFS([49]mensuel_section_article1!$E$3:$E$962,[49]mensuel_section_article1!$B$3:$B$962,C867,[49]mensuel_section_article1!$C$3:$C$962,D867)</f>
        <v>#VALUE!</v>
      </c>
      <c r="G867" s="60" t="e">
        <f>SUMIFS([49]mensuel_section_article1!$G$3:$G$962,[49]mensuel_section_article1!$B$3:$B$962,C867,[49]mensuel_section_article1!$C$3:$C$962,D867)</f>
        <v>#VALUE!</v>
      </c>
      <c r="H867" s="60">
        <v>3369999.9800000004</v>
      </c>
      <c r="I867" s="60">
        <v>23804660.02</v>
      </c>
      <c r="J867" s="60">
        <v>23804660</v>
      </c>
      <c r="K867" s="60">
        <f t="shared" si="483"/>
        <v>-20434660.02</v>
      </c>
      <c r="L867" s="61">
        <f t="shared" si="476"/>
        <v>7.0636973712979065</v>
      </c>
      <c r="M867" s="60"/>
      <c r="N867" s="24"/>
      <c r="O867" s="9"/>
      <c r="Q867" s="63"/>
      <c r="AK867" s="64"/>
      <c r="AL867" s="64"/>
      <c r="AM867" s="64"/>
      <c r="AN867" s="64"/>
      <c r="AO867" s="11">
        <v>2212111</v>
      </c>
      <c r="AP867" s="65" t="str">
        <f t="shared" si="484"/>
        <v>22121114</v>
      </c>
    </row>
    <row r="868" spans="1:42" s="62" customFormat="1" ht="27.75" hidden="1" customHeight="1" thickTop="1" thickBot="1" x14ac:dyDescent="0.3">
      <c r="A868" s="56" t="s">
        <v>22</v>
      </c>
      <c r="B868" s="56" t="s">
        <v>22</v>
      </c>
      <c r="C868" s="57">
        <f t="shared" si="481"/>
        <v>2212111</v>
      </c>
      <c r="D868" s="58">
        <v>5</v>
      </c>
      <c r="E868" s="59" t="str">
        <f t="shared" si="482"/>
        <v>IMMOBILISATION INCORPORELLE</v>
      </c>
      <c r="F868" s="60" t="e">
        <f>SUMIFS([49]mensuel_section_article1!$E$3:$E$962,[49]mensuel_section_article1!$B$3:$B$962,C868,[49]mensuel_section_article1!$C$3:$C$962,D868)</f>
        <v>#VALUE!</v>
      </c>
      <c r="G868" s="60" t="e">
        <f>SUMIFS([49]mensuel_section_article1!$G$3:$G$962,[49]mensuel_section_article1!$B$3:$B$962,C868,[49]mensuel_section_article1!$C$3:$C$962,D868)</f>
        <v>#VALUE!</v>
      </c>
      <c r="H868" s="60">
        <v>0</v>
      </c>
      <c r="I868" s="60">
        <v>0</v>
      </c>
      <c r="J868" s="60">
        <v>0</v>
      </c>
      <c r="K868" s="60">
        <f t="shared" si="483"/>
        <v>0</v>
      </c>
      <c r="L868" s="61" t="e">
        <f>IF(F868&lt;&gt;0,K868/F868,0)</f>
        <v>#VALUE!</v>
      </c>
      <c r="M868" s="60" t="e">
        <f>+SUMIFS([51]section_article!$H$10:$H$936,[51]section_article!$C$10:$C$936,C868,[51]section_article!$D$10:$D$936,D868)</f>
        <v>#VALUE!</v>
      </c>
      <c r="N868" s="24" t="e">
        <f t="shared" ref="N864:N870" si="485">+J868-M868</f>
        <v>#VALUE!</v>
      </c>
      <c r="O868" s="9"/>
      <c r="Q868" s="63"/>
      <c r="AK868" s="64"/>
      <c r="AL868" s="64"/>
      <c r="AM868" s="64"/>
      <c r="AN868" s="64"/>
      <c r="AO868" s="11">
        <v>2212111</v>
      </c>
      <c r="AP868" s="65" t="str">
        <f t="shared" si="484"/>
        <v>22121115</v>
      </c>
    </row>
    <row r="869" spans="1:42" s="62" customFormat="1" ht="27.75" hidden="1" customHeight="1" thickTop="1" thickBot="1" x14ac:dyDescent="0.3">
      <c r="A869" s="56" t="s">
        <v>22</v>
      </c>
      <c r="B869" s="56" t="s">
        <v>22</v>
      </c>
      <c r="C869" s="57">
        <f t="shared" si="481"/>
        <v>2212111</v>
      </c>
      <c r="D869" s="58">
        <v>7</v>
      </c>
      <c r="E869" s="59" t="str">
        <f t="shared" si="482"/>
        <v>SUBVENTIONS,QUOTES-PARTS ET CONTRIB.,ALLOC, INDEMNISATIONS</v>
      </c>
      <c r="F869" s="60" t="e">
        <f>SUMIFS([49]mensuel_section_article1!$E$3:$E$962,[49]mensuel_section_article1!$B$3:$B$962,C869,[49]mensuel_section_article1!$C$3:$C$962,D869)</f>
        <v>#VALUE!</v>
      </c>
      <c r="G869" s="60" t="e">
        <f>SUMIFS([49]mensuel_section_article1!$G$3:$G$962,[49]mensuel_section_article1!$B$3:$B$962,C869,[49]mensuel_section_article1!$C$3:$C$962,D869)</f>
        <v>#VALUE!</v>
      </c>
      <c r="H869" s="60">
        <v>0</v>
      </c>
      <c r="I869" s="60">
        <v>0</v>
      </c>
      <c r="J869" s="60">
        <v>0</v>
      </c>
      <c r="K869" s="60">
        <f t="shared" si="483"/>
        <v>0</v>
      </c>
      <c r="L869" s="61" t="e">
        <f>IF(F869&lt;&gt;0,K869/F869,0)</f>
        <v>#VALUE!</v>
      </c>
      <c r="M869" s="60" t="e">
        <f>+SUMIFS([51]section_article!$H$10:$H$936,[51]section_article!$C$10:$C$936,C869,[51]section_article!$D$10:$D$936,D869)</f>
        <v>#VALUE!</v>
      </c>
      <c r="N869" s="24" t="e">
        <f t="shared" si="485"/>
        <v>#VALUE!</v>
      </c>
      <c r="O869" s="9"/>
      <c r="Q869" s="63"/>
      <c r="AK869" s="64"/>
      <c r="AL869" s="64"/>
      <c r="AM869" s="64"/>
      <c r="AN869" s="64"/>
      <c r="AO869" s="11">
        <v>2212111</v>
      </c>
      <c r="AP869" s="65" t="str">
        <f t="shared" si="484"/>
        <v>22121117</v>
      </c>
    </row>
    <row r="870" spans="1:42" s="62" customFormat="1" ht="27.75" hidden="1" customHeight="1" thickTop="1" thickBot="1" x14ac:dyDescent="0.3">
      <c r="A870" s="56" t="s">
        <v>22</v>
      </c>
      <c r="B870" s="56" t="s">
        <v>22</v>
      </c>
      <c r="C870" s="57">
        <f t="shared" si="481"/>
        <v>2212111</v>
      </c>
      <c r="D870" s="58">
        <v>9</v>
      </c>
      <c r="E870" s="59" t="str">
        <f t="shared" si="482"/>
        <v>AUTRES DEPENSES PUBLIQUES</v>
      </c>
      <c r="F870" s="60" t="e">
        <f>SUMIFS([49]mensuel_section_article1!$E$3:$E$962,[49]mensuel_section_article1!$B$3:$B$962,C870,[49]mensuel_section_article1!$C$3:$C$962,D870)</f>
        <v>#VALUE!</v>
      </c>
      <c r="G870" s="60" t="e">
        <f>SUMIFS([49]mensuel_section_article1!$G$3:$G$962,[49]mensuel_section_article1!$B$3:$B$962,C870,[49]mensuel_section_article1!$C$3:$C$962,D870)</f>
        <v>#VALUE!</v>
      </c>
      <c r="H870" s="60">
        <v>0.33300000000000007</v>
      </c>
      <c r="I870" s="60">
        <v>0</v>
      </c>
      <c r="J870" s="60">
        <v>0</v>
      </c>
      <c r="K870" s="60">
        <f t="shared" si="483"/>
        <v>0.33300000000000007</v>
      </c>
      <c r="L870" s="61" t="e">
        <f>IF(F870&lt;&gt;0,K870/F870,0)</f>
        <v>#VALUE!</v>
      </c>
      <c r="M870" s="60" t="e">
        <f>+SUMIFS([51]section_article!$H$10:$H$936,[51]section_article!$C$10:$C$936,C870,[51]section_article!$D$10:$D$936,D870)</f>
        <v>#VALUE!</v>
      </c>
      <c r="N870" s="24" t="e">
        <f t="shared" si="485"/>
        <v>#VALUE!</v>
      </c>
      <c r="O870" s="9"/>
      <c r="Q870" s="63"/>
      <c r="AK870" s="64"/>
      <c r="AL870" s="64"/>
      <c r="AM870" s="64"/>
      <c r="AN870" s="64"/>
      <c r="AO870" s="11">
        <v>2212111</v>
      </c>
      <c r="AP870" s="65" t="str">
        <f t="shared" si="484"/>
        <v>22121119</v>
      </c>
    </row>
    <row r="871" spans="1:42" s="1" customFormat="1" ht="27.75" customHeight="1" thickTop="1" thickBot="1" x14ac:dyDescent="0.3">
      <c r="A871" s="50" t="s">
        <v>20</v>
      </c>
      <c r="B871" s="50" t="s">
        <v>20</v>
      </c>
      <c r="C871" s="50" t="s">
        <v>20</v>
      </c>
      <c r="D871" s="51">
        <v>2212112</v>
      </c>
      <c r="E871" s="67" t="s">
        <v>142</v>
      </c>
      <c r="F871" s="68" t="e">
        <f>SUMIF($B$872:$B$878,"article",F872:F878)</f>
        <v>#VALUE!</v>
      </c>
      <c r="G871" s="68" t="e">
        <f>SUMIF($B$872:$B$878,"article",G872:G878)</f>
        <v>#VALUE!</v>
      </c>
      <c r="H871" s="68">
        <f>SUMIF($B$872:$B$878,"article",H872:H878)</f>
        <v>189520558.06954736</v>
      </c>
      <c r="I871" s="68">
        <v>46155826.409999996</v>
      </c>
      <c r="J871" s="68">
        <f>SUMIF($B$872:$B$878,"article",J872:J878)</f>
        <v>34920818.780000001</v>
      </c>
      <c r="K871" s="68">
        <f>SUMIF($B$872:$B$878,"article",K872:K878)</f>
        <v>154599739.28954732</v>
      </c>
      <c r="L871" s="69">
        <f>+J871/H871</f>
        <v>0.18425873760452569</v>
      </c>
      <c r="M871" s="68"/>
      <c r="N871" s="68"/>
      <c r="O871" s="70"/>
      <c r="P871" s="70"/>
      <c r="Q871" s="70"/>
      <c r="R871" s="70"/>
      <c r="S871" s="70"/>
      <c r="T871" s="70"/>
      <c r="U871" s="70"/>
      <c r="V871" s="70"/>
      <c r="W871" s="70">
        <f>SUMIF($B$872:$B$878,"article",W872:W878)</f>
        <v>0</v>
      </c>
      <c r="X871" s="70">
        <f>SUMIF($B$872:$B$878,"article",X872:X878)</f>
        <v>0</v>
      </c>
      <c r="Y871" s="70">
        <f>SUMIF($B$872:$B$878,"article",Y872:Y878)</f>
        <v>0</v>
      </c>
      <c r="Z871" s="70">
        <f>SUMIF($B$872:$B$878,"article",Z872:Z878)</f>
        <v>0</v>
      </c>
      <c r="AA871" s="70">
        <f>SUMIF($B$872:$B$878,"article",AA872:AA878)</f>
        <v>0</v>
      </c>
      <c r="AB871" s="70">
        <f>SUMIF($B$872:$B$878,"article",AB872:AB878)</f>
        <v>0</v>
      </c>
      <c r="AC871" s="70">
        <f>SUMIF($B$872:$B$878,"article",AG872:AG878)</f>
        <v>0</v>
      </c>
      <c r="AD871" s="70">
        <f>SUMIF($B$872:$B$878,"article",AD872:AD878)</f>
        <v>0</v>
      </c>
      <c r="AE871" s="70">
        <f>SUMIF($B$872:$B$878,"article",AE872:AE878)</f>
        <v>0</v>
      </c>
      <c r="AF871" s="70">
        <f>SUMIF($B$872:$B$878,"article",AF872:AF878)</f>
        <v>0</v>
      </c>
      <c r="AG871" s="70">
        <f>SUMIF($B$872:$B$878,"article",AG872:AG878)</f>
        <v>0</v>
      </c>
      <c r="AH871" s="70">
        <f>SUMIF($B$872:$B$878,"article",AH872:AH878)</f>
        <v>0</v>
      </c>
      <c r="AI871" s="70">
        <f>SUMIF($B$872:$B$878,"article",AI872:AI878)</f>
        <v>0</v>
      </c>
      <c r="AJ871" s="70"/>
      <c r="AK871" s="70"/>
      <c r="AL871" s="70"/>
      <c r="AM871" s="70"/>
      <c r="AN871" s="70"/>
      <c r="AO871" s="11">
        <v>2212112</v>
      </c>
    </row>
    <row r="872" spans="1:42" s="62" customFormat="1" ht="27.75" customHeight="1" thickTop="1" thickBot="1" x14ac:dyDescent="0.3">
      <c r="A872" s="56" t="s">
        <v>22</v>
      </c>
      <c r="B872" s="56" t="s">
        <v>22</v>
      </c>
      <c r="C872" s="57">
        <f t="shared" ref="C872:C878" si="486">IF(A871="SECTION",D871,C871)</f>
        <v>2212112</v>
      </c>
      <c r="D872" s="58">
        <v>1</v>
      </c>
      <c r="E872" s="59" t="str">
        <f t="shared" ref="E872:E878" si="487">IF(D872=1, "DEPENSES DE PERSONNEL",  +IF(D872=2,"DEPENSES DE SERVICES ET CHARGES DIVERSES", +IF(D872=3,"ACHATS DE BIENS DE CONSOMMATION ET PETITS MATERIELS",+IF(D872=4,"IMMOBILISATION CORPORELLE",+IF(D872=5,"IMMOBILISATION INCORPORELLE",+IF(D872=7,"SUBVENTIONS,QUOTES-PARTS ET CONTRIB.,ALLOC, INDEMNISATIONS",+IF(D872=8,"AMORTISSEMENT DE LA DETTE",+IF(D872=9,"AUTRES DEPENSES PUBLIQUES",0))))))))</f>
        <v>DEPENSES DE PERSONNEL</v>
      </c>
      <c r="F872" s="60" t="e">
        <f>SUMIFS([49]mensuel_section_article1!$E$3:$E$962,[49]mensuel_section_article1!$B$3:$B$962,C872,[49]mensuel_section_article1!$C$3:$C$962,D872)</f>
        <v>#VALUE!</v>
      </c>
      <c r="G872" s="60" t="e">
        <f>SUMIFS([49]mensuel_section_article1!$G$3:$G$962,[49]mensuel_section_article1!$B$3:$B$962,C872,[49]mensuel_section_article1!$C$3:$C$962,D872)</f>
        <v>#VALUE!</v>
      </c>
      <c r="H872" s="60">
        <v>66230558.402547345</v>
      </c>
      <c r="I872" s="60">
        <v>37216400.399999999</v>
      </c>
      <c r="J872" s="60">
        <v>25981393.779999997</v>
      </c>
      <c r="K872" s="60">
        <f t="shared" ref="K872:K878" si="488">+H872-J872</f>
        <v>40249164.622547343</v>
      </c>
      <c r="L872" s="61">
        <f>+J872/H872</f>
        <v>0.39228710140243522</v>
      </c>
      <c r="M872" s="60"/>
      <c r="N872" s="24"/>
      <c r="O872" s="9"/>
      <c r="Q872" s="63"/>
      <c r="AK872" s="64"/>
      <c r="AL872" s="64"/>
      <c r="AM872" s="64"/>
      <c r="AN872" s="64"/>
      <c r="AO872" s="11">
        <v>2212112</v>
      </c>
      <c r="AP872" s="65" t="str">
        <f t="shared" ref="AP872:AP878" si="489">CONCATENATE(AO872,D872)</f>
        <v>22121121</v>
      </c>
    </row>
    <row r="873" spans="1:42" s="62" customFormat="1" ht="27.75" customHeight="1" thickTop="1" thickBot="1" x14ac:dyDescent="0.3">
      <c r="A873" s="56" t="s">
        <v>22</v>
      </c>
      <c r="B873" s="56" t="s">
        <v>22</v>
      </c>
      <c r="C873" s="57">
        <f t="shared" si="486"/>
        <v>2212112</v>
      </c>
      <c r="D873" s="58">
        <v>2</v>
      </c>
      <c r="E873" s="59" t="str">
        <f t="shared" si="487"/>
        <v>DEPENSES DE SERVICES ET CHARGES DIVERSES</v>
      </c>
      <c r="F873" s="60" t="e">
        <f>SUMIFS([49]mensuel_section_article1!$E$3:$E$962,[49]mensuel_section_article1!$B$3:$B$962,C873,[49]mensuel_section_article1!$C$3:$C$962,D873)</f>
        <v>#VALUE!</v>
      </c>
      <c r="G873" s="60" t="e">
        <f>SUMIFS([49]mensuel_section_article1!$G$3:$G$962,[49]mensuel_section_article1!$B$3:$B$962,C873,[49]mensuel_section_article1!$C$3:$C$962,D873)</f>
        <v>#VALUE!</v>
      </c>
      <c r="H873" s="60">
        <v>53700000</v>
      </c>
      <c r="I873" s="60">
        <v>8939425.9900000002</v>
      </c>
      <c r="J873" s="60">
        <v>8939425</v>
      </c>
      <c r="K873" s="60">
        <f t="shared" si="488"/>
        <v>44760575</v>
      </c>
      <c r="L873" s="61">
        <f>+J873/H873</f>
        <v>0.166469739292365</v>
      </c>
      <c r="M873" s="60"/>
      <c r="N873" s="24"/>
      <c r="O873" s="9"/>
      <c r="Q873" s="63"/>
      <c r="AK873" s="64"/>
      <c r="AL873" s="64"/>
      <c r="AM873" s="64"/>
      <c r="AN873" s="64"/>
      <c r="AO873" s="11">
        <v>2212112</v>
      </c>
      <c r="AP873" s="65" t="str">
        <f t="shared" si="489"/>
        <v>22121122</v>
      </c>
    </row>
    <row r="874" spans="1:42" s="62" customFormat="1" ht="27.75" hidden="1" customHeight="1" thickTop="1" thickBot="1" x14ac:dyDescent="0.3">
      <c r="A874" s="56" t="s">
        <v>22</v>
      </c>
      <c r="B874" s="56" t="s">
        <v>22</v>
      </c>
      <c r="C874" s="57">
        <f t="shared" si="486"/>
        <v>2212112</v>
      </c>
      <c r="D874" s="58">
        <v>3</v>
      </c>
      <c r="E874" s="59" t="str">
        <f t="shared" si="487"/>
        <v>ACHATS DE BIENS DE CONSOMMATION ET PETITS MATERIELS</v>
      </c>
      <c r="F874" s="60" t="e">
        <f>SUMIFS([49]mensuel_section_article1!$E$3:$E$962,[49]mensuel_section_article1!$B$3:$B$962,C874,[49]mensuel_section_article1!$C$3:$C$962,D874)</f>
        <v>#VALUE!</v>
      </c>
      <c r="G874" s="60" t="e">
        <f>SUMIFS([49]mensuel_section_article1!$G$3:$G$962,[49]mensuel_section_article1!$B$3:$B$962,C874,[49]mensuel_section_article1!$C$3:$C$962,D874)</f>
        <v>#VALUE!</v>
      </c>
      <c r="H874" s="60">
        <v>0</v>
      </c>
      <c r="I874" s="60">
        <v>0</v>
      </c>
      <c r="J874" s="60">
        <v>0</v>
      </c>
      <c r="K874" s="60">
        <f t="shared" si="488"/>
        <v>0</v>
      </c>
      <c r="L874" s="61" t="e">
        <f>IF(F874&lt;&gt;0,K874/F874,0)</f>
        <v>#VALUE!</v>
      </c>
      <c r="M874" s="60" t="e">
        <f>+SUMIFS([51]section_article!$H$10:$H$936,[51]section_article!$C$10:$C$936,C874,[51]section_article!$D$10:$D$936,D874)</f>
        <v>#VALUE!</v>
      </c>
      <c r="N874" s="24" t="e">
        <f t="shared" ref="N872:N878" si="490">+J874-M874</f>
        <v>#VALUE!</v>
      </c>
      <c r="O874" s="9"/>
      <c r="Q874" s="63"/>
      <c r="AK874" s="64"/>
      <c r="AL874" s="64"/>
      <c r="AM874" s="64"/>
      <c r="AN874" s="64"/>
      <c r="AO874" s="11">
        <v>2212112</v>
      </c>
      <c r="AP874" s="65" t="str">
        <f t="shared" si="489"/>
        <v>22121123</v>
      </c>
    </row>
    <row r="875" spans="1:42" s="62" customFormat="1" ht="27.75" hidden="1" customHeight="1" thickTop="1" thickBot="1" x14ac:dyDescent="0.3">
      <c r="A875" s="56" t="s">
        <v>22</v>
      </c>
      <c r="B875" s="56" t="s">
        <v>22</v>
      </c>
      <c r="C875" s="57">
        <f t="shared" si="486"/>
        <v>2212112</v>
      </c>
      <c r="D875" s="58">
        <v>4</v>
      </c>
      <c r="E875" s="59" t="str">
        <f t="shared" si="487"/>
        <v>IMMOBILISATION CORPORELLE</v>
      </c>
      <c r="F875" s="60" t="e">
        <f>SUMIFS([49]mensuel_section_article1!$E$3:$E$962,[49]mensuel_section_article1!$B$3:$B$962,C875,[49]mensuel_section_article1!$C$3:$C$962,D875)</f>
        <v>#VALUE!</v>
      </c>
      <c r="G875" s="60" t="e">
        <f>SUMIFS([49]mensuel_section_article1!$G$3:$G$962,[49]mensuel_section_article1!$B$3:$B$962,C875,[49]mensuel_section_article1!$C$3:$C$962,D875)</f>
        <v>#VALUE!</v>
      </c>
      <c r="H875" s="60">
        <v>0</v>
      </c>
      <c r="I875" s="60">
        <v>0</v>
      </c>
      <c r="J875" s="60">
        <v>0</v>
      </c>
      <c r="K875" s="60">
        <f t="shared" si="488"/>
        <v>0</v>
      </c>
      <c r="L875" s="61" t="e">
        <f>IF(F875&lt;&gt;0,K875/F875,0)</f>
        <v>#VALUE!</v>
      </c>
      <c r="M875" s="60" t="e">
        <f>+SUMIFS([51]section_article!$H$10:$H$936,[51]section_article!$C$10:$C$936,C875,[51]section_article!$D$10:$D$936,D875)</f>
        <v>#VALUE!</v>
      </c>
      <c r="N875" s="24" t="e">
        <f t="shared" si="490"/>
        <v>#VALUE!</v>
      </c>
      <c r="O875" s="9"/>
      <c r="Q875" s="63"/>
      <c r="AK875" s="64"/>
      <c r="AL875" s="64"/>
      <c r="AM875" s="64"/>
      <c r="AN875" s="64"/>
      <c r="AO875" s="11">
        <v>2212112</v>
      </c>
      <c r="AP875" s="65" t="str">
        <f t="shared" si="489"/>
        <v>22121124</v>
      </c>
    </row>
    <row r="876" spans="1:42" s="62" customFormat="1" ht="27.75" hidden="1" customHeight="1" thickTop="1" thickBot="1" x14ac:dyDescent="0.3">
      <c r="A876" s="56" t="s">
        <v>22</v>
      </c>
      <c r="B876" s="56" t="s">
        <v>22</v>
      </c>
      <c r="C876" s="57">
        <f t="shared" si="486"/>
        <v>2212112</v>
      </c>
      <c r="D876" s="58">
        <v>5</v>
      </c>
      <c r="E876" s="59" t="str">
        <f t="shared" si="487"/>
        <v>IMMOBILISATION INCORPORELLE</v>
      </c>
      <c r="F876" s="60" t="e">
        <f>SUMIFS([49]mensuel_section_article1!$E$3:$E$962,[49]mensuel_section_article1!$B$3:$B$962,C876,[49]mensuel_section_article1!$C$3:$C$962,D876)</f>
        <v>#VALUE!</v>
      </c>
      <c r="G876" s="60" t="e">
        <f>SUMIFS([49]mensuel_section_article1!$G$3:$G$962,[49]mensuel_section_article1!$B$3:$B$962,C876,[49]mensuel_section_article1!$C$3:$C$962,D876)</f>
        <v>#VALUE!</v>
      </c>
      <c r="H876" s="60">
        <v>0</v>
      </c>
      <c r="I876" s="60">
        <v>0</v>
      </c>
      <c r="J876" s="60">
        <v>0</v>
      </c>
      <c r="K876" s="60">
        <f t="shared" si="488"/>
        <v>0</v>
      </c>
      <c r="L876" s="61" t="e">
        <f>IF(F876&lt;&gt;0,K876/F876,0)</f>
        <v>#VALUE!</v>
      </c>
      <c r="M876" s="60" t="e">
        <f>+SUMIFS([51]section_article!$H$10:$H$936,[51]section_article!$C$10:$C$936,C876,[51]section_article!$D$10:$D$936,D876)</f>
        <v>#VALUE!</v>
      </c>
      <c r="N876" s="24" t="e">
        <f t="shared" si="490"/>
        <v>#VALUE!</v>
      </c>
      <c r="O876" s="9"/>
      <c r="Q876" s="63"/>
      <c r="AK876" s="64"/>
      <c r="AL876" s="64"/>
      <c r="AM876" s="64"/>
      <c r="AN876" s="64"/>
      <c r="AO876" s="11">
        <v>2212112</v>
      </c>
      <c r="AP876" s="65" t="str">
        <f t="shared" si="489"/>
        <v>22121125</v>
      </c>
    </row>
    <row r="877" spans="1:42" s="62" customFormat="1" ht="27.75" customHeight="1" thickTop="1" thickBot="1" x14ac:dyDescent="0.3">
      <c r="A877" s="56" t="s">
        <v>22</v>
      </c>
      <c r="B877" s="56" t="s">
        <v>22</v>
      </c>
      <c r="C877" s="57">
        <f t="shared" si="486"/>
        <v>2212112</v>
      </c>
      <c r="D877" s="58">
        <v>7</v>
      </c>
      <c r="E877" s="59" t="str">
        <f t="shared" si="487"/>
        <v>SUBVENTIONS,QUOTES-PARTS ET CONTRIB.,ALLOC, INDEMNISATIONS</v>
      </c>
      <c r="F877" s="60" t="e">
        <f>SUMIFS([49]mensuel_section_article1!$E$3:$E$962,[49]mensuel_section_article1!$B$3:$B$962,C877,[49]mensuel_section_article1!$C$3:$C$962,D877)</f>
        <v>#VALUE!</v>
      </c>
      <c r="G877" s="60" t="e">
        <f>SUMIFS([49]mensuel_section_article1!$G$3:$G$962,[49]mensuel_section_article1!$B$3:$B$962,C877,[49]mensuel_section_article1!$C$3:$C$962,D877)</f>
        <v>#VALUE!</v>
      </c>
      <c r="H877" s="60">
        <v>19590000</v>
      </c>
      <c r="I877" s="60">
        <v>0.01</v>
      </c>
      <c r="J877" s="60">
        <v>0</v>
      </c>
      <c r="K877" s="60">
        <f t="shared" si="488"/>
        <v>19590000</v>
      </c>
      <c r="L877" s="61">
        <f t="shared" ref="L877:L885" si="491">+J877/H877</f>
        <v>0</v>
      </c>
      <c r="M877" s="60"/>
      <c r="N877" s="24"/>
      <c r="O877" s="9"/>
      <c r="Q877" s="63"/>
      <c r="AK877" s="64"/>
      <c r="AL877" s="64"/>
      <c r="AM877" s="64"/>
      <c r="AN877" s="64"/>
      <c r="AO877" s="11">
        <v>2212112</v>
      </c>
      <c r="AP877" s="65" t="str">
        <f t="shared" si="489"/>
        <v>22121127</v>
      </c>
    </row>
    <row r="878" spans="1:42" s="62" customFormat="1" ht="27.75" customHeight="1" thickTop="1" thickBot="1" x14ac:dyDescent="0.3">
      <c r="A878" s="56" t="s">
        <v>22</v>
      </c>
      <c r="B878" s="56" t="s">
        <v>22</v>
      </c>
      <c r="C878" s="57">
        <f t="shared" si="486"/>
        <v>2212112</v>
      </c>
      <c r="D878" s="58">
        <v>9</v>
      </c>
      <c r="E878" s="59" t="str">
        <f t="shared" si="487"/>
        <v>AUTRES DEPENSES PUBLIQUES</v>
      </c>
      <c r="F878" s="60" t="e">
        <f>SUMIFS([49]mensuel_section_article1!$E$3:$E$962,[49]mensuel_section_article1!$B$3:$B$962,C878,[49]mensuel_section_article1!$C$3:$C$962,D878)</f>
        <v>#VALUE!</v>
      </c>
      <c r="G878" s="60" t="e">
        <f>SUMIFS([49]mensuel_section_article1!$G$3:$G$962,[49]mensuel_section_article1!$B$3:$B$962,C878,[49]mensuel_section_article1!$C$3:$C$962,D878)</f>
        <v>#VALUE!</v>
      </c>
      <c r="H878" s="60">
        <v>49999999.666999996</v>
      </c>
      <c r="I878" s="60">
        <v>0.01</v>
      </c>
      <c r="J878" s="60">
        <v>0</v>
      </c>
      <c r="K878" s="60">
        <f t="shared" si="488"/>
        <v>49999999.666999996</v>
      </c>
      <c r="L878" s="61">
        <f t="shared" si="491"/>
        <v>0</v>
      </c>
      <c r="M878" s="60"/>
      <c r="N878" s="24"/>
      <c r="O878" s="9"/>
      <c r="Q878" s="63"/>
      <c r="AK878" s="64"/>
      <c r="AL878" s="64"/>
      <c r="AM878" s="64"/>
      <c r="AN878" s="64"/>
      <c r="AO878" s="11">
        <v>2212112</v>
      </c>
      <c r="AP878" s="65" t="str">
        <f t="shared" si="489"/>
        <v>22121129</v>
      </c>
    </row>
    <row r="879" spans="1:42" s="1" customFormat="1" ht="27.75" customHeight="1" thickTop="1" thickBot="1" x14ac:dyDescent="0.3">
      <c r="A879" s="50" t="s">
        <v>20</v>
      </c>
      <c r="B879" s="50" t="s">
        <v>20</v>
      </c>
      <c r="C879" s="50" t="s">
        <v>20</v>
      </c>
      <c r="D879" s="51">
        <v>2212211</v>
      </c>
      <c r="E879" s="67" t="s">
        <v>143</v>
      </c>
      <c r="F879" s="68" t="e">
        <f>SUMIF($B$880:$B$886,"article",F880:F886)</f>
        <v>#VALUE!</v>
      </c>
      <c r="G879" s="68" t="e">
        <f>SUMIF($B$880:$B$886,"article",G880:G886)</f>
        <v>#VALUE!</v>
      </c>
      <c r="H879" s="68">
        <f>SUMIF($B$880:$B$886,"article",H880:H886)</f>
        <v>1932067569.8456426</v>
      </c>
      <c r="I879" s="68">
        <v>2590696030.0400004</v>
      </c>
      <c r="J879" s="68">
        <f>SUMIF($B$880:$B$886,"article",J880:J886)</f>
        <v>2543784866.4700003</v>
      </c>
      <c r="K879" s="68">
        <f>SUMIF($B$880:$B$886,"article",K880:K886)</f>
        <v>-611717296.62435758</v>
      </c>
      <c r="L879" s="69">
        <f t="shared" si="491"/>
        <v>1.3166127863081047</v>
      </c>
      <c r="M879" s="68"/>
      <c r="N879" s="68"/>
      <c r="O879" s="68"/>
      <c r="Q879" s="23"/>
      <c r="AK879" s="70"/>
      <c r="AL879" s="70"/>
      <c r="AM879" s="70"/>
      <c r="AN879" s="70"/>
      <c r="AO879" s="11">
        <v>2212211</v>
      </c>
    </row>
    <row r="880" spans="1:42" s="62" customFormat="1" ht="27.75" customHeight="1" thickTop="1" thickBot="1" x14ac:dyDescent="0.3">
      <c r="A880" s="56" t="s">
        <v>22</v>
      </c>
      <c r="B880" s="56" t="s">
        <v>22</v>
      </c>
      <c r="C880" s="57">
        <f t="shared" ref="C880:C886" si="492">IF(A879="SECTION",D879,C879)</f>
        <v>2212211</v>
      </c>
      <c r="D880" s="58">
        <v>1</v>
      </c>
      <c r="E880" s="59" t="str">
        <f t="shared" ref="E880:E886" si="493">IF(D880=1, "DEPENSES DE PERSONNEL",  +IF(D880=2,"DEPENSES DE SERVICES ET CHARGES DIVERSES", +IF(D880=3,"ACHATS DE BIENS DE CONSOMMATION ET PETITS MATERIELS",+IF(D880=4,"IMMOBILISATION CORPORELLE",+IF(D880=5,"IMMOBILISATION INCORPORELLE",+IF(D880=7,"SUBVENTIONS,QUOTES-PARTS ET CONTRIB.,ALLOC, INDEMNISATIONS",+IF(D880=8,"AMORTISSEMENT DE LA DETTE",+IF(D880=9,"AUTRES DEPENSES PUBLIQUES",0))))))))</f>
        <v>DEPENSES DE PERSONNEL</v>
      </c>
      <c r="F880" s="60" t="e">
        <f>SUMIFS([49]mensuel_section_article1!$E$3:$E$962,[49]mensuel_section_article1!$B$3:$B$962,C880,[49]mensuel_section_article1!$C$3:$C$962,D880)</f>
        <v>#VALUE!</v>
      </c>
      <c r="G880" s="60" t="e">
        <f>SUMIFS([49]mensuel_section_article1!$G$3:$G$962,[49]mensuel_section_article1!$B$3:$B$962,C880,[49]mensuel_section_article1!$C$3:$C$962,D880)</f>
        <v>#VALUE!</v>
      </c>
      <c r="H880" s="60">
        <v>1047018579.8386426</v>
      </c>
      <c r="I880" s="60">
        <v>1355054439.7000003</v>
      </c>
      <c r="J880" s="60">
        <v>1314216154.21</v>
      </c>
      <c r="K880" s="60">
        <f t="shared" ref="K880:K886" si="494">+H880-J880</f>
        <v>-267197574.37135744</v>
      </c>
      <c r="L880" s="61">
        <f t="shared" si="491"/>
        <v>1.2551985031751161</v>
      </c>
      <c r="M880" s="60"/>
      <c r="N880" s="24"/>
      <c r="O880" s="9"/>
      <c r="Q880" s="63"/>
      <c r="AK880" s="64"/>
      <c r="AL880" s="64"/>
      <c r="AM880" s="64"/>
      <c r="AN880" s="64"/>
      <c r="AO880" s="11">
        <v>2212211</v>
      </c>
      <c r="AP880" s="65" t="str">
        <f t="shared" ref="AP880:AP886" si="495">CONCATENATE(AO880,D880)</f>
        <v>22122111</v>
      </c>
    </row>
    <row r="881" spans="1:42" s="62" customFormat="1" ht="27.75" customHeight="1" thickTop="1" thickBot="1" x14ac:dyDescent="0.3">
      <c r="A881" s="56" t="s">
        <v>22</v>
      </c>
      <c r="B881" s="56" t="s">
        <v>22</v>
      </c>
      <c r="C881" s="57">
        <f t="shared" si="492"/>
        <v>2212211</v>
      </c>
      <c r="D881" s="58">
        <v>2</v>
      </c>
      <c r="E881" s="59" t="str">
        <f t="shared" si="493"/>
        <v>DEPENSES DE SERVICES ET CHARGES DIVERSES</v>
      </c>
      <c r="F881" s="60" t="e">
        <f>SUMIFS([49]mensuel_section_article1!$E$3:$E$962,[49]mensuel_section_article1!$B$3:$B$962,C881,[49]mensuel_section_article1!$C$3:$C$962,D881)</f>
        <v>#VALUE!</v>
      </c>
      <c r="G881" s="60" t="e">
        <f>SUMIFS([49]mensuel_section_article1!$G$3:$G$962,[49]mensuel_section_article1!$B$3:$B$962,C881,[49]mensuel_section_article1!$C$3:$C$962,D881)</f>
        <v>#VALUE!</v>
      </c>
      <c r="H881" s="60">
        <v>156788195.78999999</v>
      </c>
      <c r="I881" s="60">
        <v>152308820.80000001</v>
      </c>
      <c r="J881" s="60">
        <v>146236257.00999999</v>
      </c>
      <c r="K881" s="60">
        <f t="shared" si="494"/>
        <v>10551938.780000001</v>
      </c>
      <c r="L881" s="61">
        <f t="shared" si="491"/>
        <v>0.93269940554623687</v>
      </c>
      <c r="M881" s="60"/>
      <c r="N881" s="24"/>
      <c r="O881" s="9"/>
      <c r="Q881" s="63"/>
      <c r="AK881" s="64"/>
      <c r="AL881" s="64"/>
      <c r="AM881" s="64"/>
      <c r="AN881" s="64"/>
      <c r="AO881" s="11">
        <v>2212211</v>
      </c>
      <c r="AP881" s="65" t="str">
        <f t="shared" si="495"/>
        <v>22122112</v>
      </c>
    </row>
    <row r="882" spans="1:42" s="62" customFormat="1" ht="27.75" customHeight="1" thickTop="1" thickBot="1" x14ac:dyDescent="0.3">
      <c r="A882" s="56" t="s">
        <v>22</v>
      </c>
      <c r="B882" s="56" t="s">
        <v>22</v>
      </c>
      <c r="C882" s="57">
        <f t="shared" si="492"/>
        <v>2212211</v>
      </c>
      <c r="D882" s="58">
        <v>3</v>
      </c>
      <c r="E882" s="59" t="str">
        <f t="shared" si="493"/>
        <v>ACHATS DE BIENS DE CONSOMMATION ET PETITS MATERIELS</v>
      </c>
      <c r="F882" s="60" t="e">
        <f>SUMIFS([49]mensuel_section_article1!$E$3:$E$962,[49]mensuel_section_article1!$B$3:$B$962,C882,[49]mensuel_section_article1!$C$3:$C$962,D882)</f>
        <v>#VALUE!</v>
      </c>
      <c r="G882" s="60" t="e">
        <f>SUMIFS([49]mensuel_section_article1!$G$3:$G$962,[49]mensuel_section_article1!$B$3:$B$962,C882,[49]mensuel_section_article1!$C$3:$C$962,D882)</f>
        <v>#VALUE!</v>
      </c>
      <c r="H882" s="60">
        <v>123659131.87</v>
      </c>
      <c r="I882" s="60">
        <v>475195716.85999995</v>
      </c>
      <c r="J882" s="60">
        <v>475195450.75</v>
      </c>
      <c r="K882" s="60">
        <f t="shared" si="494"/>
        <v>-351536318.88</v>
      </c>
      <c r="L882" s="61">
        <f t="shared" si="491"/>
        <v>3.8427849489479033</v>
      </c>
      <c r="M882" s="60"/>
      <c r="N882" s="24"/>
      <c r="O882" s="9"/>
      <c r="Q882" s="63"/>
      <c r="AK882" s="64"/>
      <c r="AL882" s="64"/>
      <c r="AM882" s="64"/>
      <c r="AN882" s="64"/>
      <c r="AO882" s="11">
        <v>2212211</v>
      </c>
      <c r="AP882" s="65" t="str">
        <f t="shared" si="495"/>
        <v>22122113</v>
      </c>
    </row>
    <row r="883" spans="1:42" s="62" customFormat="1" ht="27.75" customHeight="1" thickTop="1" thickBot="1" x14ac:dyDescent="0.3">
      <c r="A883" s="56" t="s">
        <v>22</v>
      </c>
      <c r="B883" s="56" t="s">
        <v>22</v>
      </c>
      <c r="C883" s="57">
        <f t="shared" si="492"/>
        <v>2212211</v>
      </c>
      <c r="D883" s="58">
        <v>4</v>
      </c>
      <c r="E883" s="59" t="str">
        <f t="shared" si="493"/>
        <v>IMMOBILISATION CORPORELLE</v>
      </c>
      <c r="F883" s="60" t="e">
        <f>SUMIFS([49]mensuel_section_article1!$E$3:$E$962,[49]mensuel_section_article1!$B$3:$B$962,C883,[49]mensuel_section_article1!$C$3:$C$962,D883)</f>
        <v>#VALUE!</v>
      </c>
      <c r="G883" s="60" t="e">
        <f>SUMIFS([49]mensuel_section_article1!$G$3:$G$962,[49]mensuel_section_article1!$B$3:$B$962,C883,[49]mensuel_section_article1!$C$3:$C$962,D883)</f>
        <v>#VALUE!</v>
      </c>
      <c r="H883" s="60">
        <v>41461674.680000007</v>
      </c>
      <c r="I883" s="60">
        <v>23458391.670000002</v>
      </c>
      <c r="J883" s="60">
        <v>23458365.5</v>
      </c>
      <c r="K883" s="60">
        <f t="shared" si="494"/>
        <v>18003309.180000007</v>
      </c>
      <c r="L883" s="61">
        <f t="shared" si="491"/>
        <v>0.56578432205285911</v>
      </c>
      <c r="M883" s="60"/>
      <c r="N883" s="24"/>
      <c r="O883" s="9"/>
      <c r="Q883" s="63"/>
      <c r="AK883" s="64"/>
      <c r="AL883" s="64"/>
      <c r="AM883" s="64"/>
      <c r="AN883" s="64"/>
      <c r="AO883" s="11">
        <v>2212211</v>
      </c>
      <c r="AP883" s="65" t="str">
        <f t="shared" si="495"/>
        <v>22122114</v>
      </c>
    </row>
    <row r="884" spans="1:42" s="62" customFormat="1" ht="27.75" customHeight="1" thickTop="1" thickBot="1" x14ac:dyDescent="0.3">
      <c r="A884" s="56" t="s">
        <v>22</v>
      </c>
      <c r="B884" s="56" t="s">
        <v>22</v>
      </c>
      <c r="C884" s="57">
        <f t="shared" si="492"/>
        <v>2212211</v>
      </c>
      <c r="D884" s="58">
        <v>5</v>
      </c>
      <c r="E884" s="59" t="str">
        <f t="shared" si="493"/>
        <v>IMMOBILISATION INCORPORELLE</v>
      </c>
      <c r="F884" s="60" t="e">
        <f>SUMIFS([49]mensuel_section_article1!$E$3:$E$962,[49]mensuel_section_article1!$B$3:$B$962,C884,[49]mensuel_section_article1!$C$3:$C$962,D884)</f>
        <v>#VALUE!</v>
      </c>
      <c r="G884" s="60" t="e">
        <f>SUMIFS([49]mensuel_section_article1!$G$3:$G$962,[49]mensuel_section_article1!$B$3:$B$962,C884,[49]mensuel_section_article1!$C$3:$C$962,D884)</f>
        <v>#VALUE!</v>
      </c>
      <c r="H884" s="60">
        <v>2629988</v>
      </c>
      <c r="I884" s="60">
        <v>198611.01</v>
      </c>
      <c r="J884" s="60">
        <v>198600</v>
      </c>
      <c r="K884" s="60">
        <f t="shared" si="494"/>
        <v>2431388</v>
      </c>
      <c r="L884" s="61">
        <f t="shared" si="491"/>
        <v>7.5513652533775816E-2</v>
      </c>
      <c r="M884" s="60"/>
      <c r="N884" s="24"/>
      <c r="O884" s="9"/>
      <c r="Q884" s="63"/>
      <c r="AK884" s="64"/>
      <c r="AL884" s="64"/>
      <c r="AM884" s="64"/>
      <c r="AN884" s="64"/>
      <c r="AO884" s="11">
        <v>2212211</v>
      </c>
      <c r="AP884" s="65" t="str">
        <f t="shared" si="495"/>
        <v>22122115</v>
      </c>
    </row>
    <row r="885" spans="1:42" s="62" customFormat="1" ht="27.75" customHeight="1" thickTop="1" thickBot="1" x14ac:dyDescent="0.3">
      <c r="A885" s="56" t="s">
        <v>22</v>
      </c>
      <c r="B885" s="56" t="s">
        <v>22</v>
      </c>
      <c r="C885" s="57">
        <f t="shared" si="492"/>
        <v>2212211</v>
      </c>
      <c r="D885" s="58">
        <v>7</v>
      </c>
      <c r="E885" s="59" t="str">
        <f t="shared" si="493"/>
        <v>SUBVENTIONS,QUOTES-PARTS ET CONTRIB.,ALLOC, INDEMNISATIONS</v>
      </c>
      <c r="F885" s="60" t="e">
        <f>SUMIFS([49]mensuel_section_article1!$E$3:$E$962,[49]mensuel_section_article1!$B$3:$B$962,C885,[49]mensuel_section_article1!$C$3:$C$962,D885)</f>
        <v>#VALUE!</v>
      </c>
      <c r="G885" s="60" t="e">
        <f>SUMIFS([49]mensuel_section_article1!$G$3:$G$962,[49]mensuel_section_article1!$B$3:$B$962,C885,[49]mensuel_section_article1!$C$3:$C$962,D885)</f>
        <v>#VALUE!</v>
      </c>
      <c r="H885" s="60">
        <v>560510000</v>
      </c>
      <c r="I885" s="60">
        <v>580099999.99000001</v>
      </c>
      <c r="J885" s="60">
        <v>580099989</v>
      </c>
      <c r="K885" s="60">
        <f t="shared" si="494"/>
        <v>-19589989</v>
      </c>
      <c r="L885" s="61">
        <f t="shared" si="491"/>
        <v>1.0349502934827211</v>
      </c>
      <c r="M885" s="60"/>
      <c r="N885" s="24"/>
      <c r="O885" s="9"/>
      <c r="Q885" s="63"/>
      <c r="AK885" s="64"/>
      <c r="AL885" s="64"/>
      <c r="AM885" s="64"/>
      <c r="AN885" s="64"/>
      <c r="AO885" s="11">
        <v>2212211</v>
      </c>
      <c r="AP885" s="65" t="str">
        <f t="shared" si="495"/>
        <v>22122117</v>
      </c>
    </row>
    <row r="886" spans="1:42" s="62" customFormat="1" ht="27.75" hidden="1" customHeight="1" thickTop="1" thickBot="1" x14ac:dyDescent="0.3">
      <c r="A886" s="56" t="s">
        <v>22</v>
      </c>
      <c r="B886" s="56" t="s">
        <v>22</v>
      </c>
      <c r="C886" s="57">
        <f t="shared" si="492"/>
        <v>2212211</v>
      </c>
      <c r="D886" s="58">
        <v>9</v>
      </c>
      <c r="E886" s="59" t="str">
        <f t="shared" si="493"/>
        <v>AUTRES DEPENSES PUBLIQUES</v>
      </c>
      <c r="F886" s="60" t="e">
        <f>SUMIFS([49]mensuel_section_article1!$E$3:$E$962,[49]mensuel_section_article1!$B$3:$B$962,C886,[49]mensuel_section_article1!$C$3:$C$962,D886)</f>
        <v>#VALUE!</v>
      </c>
      <c r="G886" s="60" t="e">
        <f>SUMIFS([49]mensuel_section_article1!$G$3:$G$962,[49]mensuel_section_article1!$B$3:$B$962,C886,[49]mensuel_section_article1!$C$3:$C$962,D886)</f>
        <v>#VALUE!</v>
      </c>
      <c r="H886" s="60">
        <v>-0.33300001919269562</v>
      </c>
      <c r="I886" s="60">
        <v>4380050.01</v>
      </c>
      <c r="J886" s="60">
        <v>4380050</v>
      </c>
      <c r="K886" s="60">
        <f t="shared" si="494"/>
        <v>-4380050.3330000192</v>
      </c>
      <c r="L886" s="61" t="e">
        <f>IF(F886&lt;&gt;0,K886/F886,0)</f>
        <v>#VALUE!</v>
      </c>
      <c r="M886" s="60" t="e">
        <f>+SUMIFS([51]section_article!$H$10:$H$936,[51]section_article!$C$10:$C$936,C886,[51]section_article!$D$10:$D$936,D886)</f>
        <v>#VALUE!</v>
      </c>
      <c r="N886" s="24" t="e">
        <f t="shared" ref="N880:N886" si="496">+J886-M886</f>
        <v>#VALUE!</v>
      </c>
      <c r="O886" s="9">
        <f>32000000-J886</f>
        <v>27619950</v>
      </c>
      <c r="Q886" s="63"/>
      <c r="AK886" s="64"/>
      <c r="AL886" s="64"/>
      <c r="AM886" s="64"/>
      <c r="AN886" s="64"/>
      <c r="AO886" s="11">
        <v>2212211</v>
      </c>
      <c r="AP886" s="65" t="str">
        <f t="shared" si="495"/>
        <v>22122119</v>
      </c>
    </row>
    <row r="887" spans="1:42" s="1" customFormat="1" ht="27.75" customHeight="1" thickTop="1" x14ac:dyDescent="0.25">
      <c r="A887" s="113" t="s">
        <v>12</v>
      </c>
      <c r="B887" s="113" t="s">
        <v>12</v>
      </c>
      <c r="C887" s="113" t="s">
        <v>12</v>
      </c>
      <c r="D887" s="26">
        <v>3</v>
      </c>
      <c r="E887" s="114" t="s">
        <v>144</v>
      </c>
      <c r="F887" s="115" t="e">
        <f>SUMIF($B$888:$B$921,"MIN",F888:F921)</f>
        <v>#VALUE!</v>
      </c>
      <c r="G887" s="115" t="e">
        <f>SUMIF($B$888:$B$921,"MIN",G888:G921)</f>
        <v>#VALUE!</v>
      </c>
      <c r="H887" s="115">
        <f>SUMIF($B$888:$B$921,"MIN",H888:H921)</f>
        <v>1477648802.5300002</v>
      </c>
      <c r="I887" s="115">
        <v>1536650726.5000002</v>
      </c>
      <c r="J887" s="115">
        <f>SUMIF($B$888:$B$921,"MIN",J888:J921)</f>
        <v>1458286584.98</v>
      </c>
      <c r="K887" s="115">
        <f>SUMIF($B$888:$B$921,"MIN",K888:K921)</f>
        <v>19362217.550000079</v>
      </c>
      <c r="L887" s="116">
        <f t="shared" ref="L887:L894" si="497">+J887/H887</f>
        <v>0.98689660390422362</v>
      </c>
      <c r="M887" s="115"/>
      <c r="N887" s="115"/>
      <c r="O887" s="9"/>
      <c r="Q887" s="23"/>
      <c r="AK887" s="117"/>
      <c r="AL887" s="117"/>
      <c r="AM887" s="117"/>
      <c r="AN887" s="117"/>
      <c r="AO887" s="11"/>
      <c r="AP887" s="118"/>
    </row>
    <row r="888" spans="1:42" s="1" customFormat="1" ht="27.75" customHeight="1" x14ac:dyDescent="0.25">
      <c r="A888" s="37" t="s">
        <v>16</v>
      </c>
      <c r="B888" s="37" t="s">
        <v>16</v>
      </c>
      <c r="C888" s="37" t="s">
        <v>16</v>
      </c>
      <c r="D888" s="73">
        <v>3211</v>
      </c>
      <c r="E888" s="74" t="s">
        <v>145</v>
      </c>
      <c r="F888" s="75" t="e">
        <f>SUMIF($B$889:$B$921,"chap",F889:F921)</f>
        <v>#VALUE!</v>
      </c>
      <c r="G888" s="75" t="e">
        <f>SUMIF($B$889:$B$921,"chap",G889:G921)</f>
        <v>#VALUE!</v>
      </c>
      <c r="H888" s="75">
        <f>SUMIF($B$889:$B$921,"chap",H889:H921)</f>
        <v>1477648802.5300002</v>
      </c>
      <c r="I888" s="75">
        <v>1536650726.5000002</v>
      </c>
      <c r="J888" s="75">
        <f>SUMIF($B$889:$B$921,"chap",J889:J921)</f>
        <v>1458286584.98</v>
      </c>
      <c r="K888" s="75">
        <f>SUMIF($B$889:$B$921,"chap",K889:K921)</f>
        <v>19362217.550000079</v>
      </c>
      <c r="L888" s="76">
        <f t="shared" si="497"/>
        <v>0.98689660390422362</v>
      </c>
      <c r="M888" s="75"/>
      <c r="N888" s="75"/>
      <c r="O888" s="9"/>
      <c r="Q888" s="23"/>
      <c r="AK888" s="77"/>
      <c r="AL888" s="77"/>
      <c r="AM888" s="77"/>
      <c r="AN888" s="77"/>
      <c r="AO888" s="11"/>
    </row>
    <row r="889" spans="1:42" s="49" customFormat="1" ht="27.75" customHeight="1" x14ac:dyDescent="0.25">
      <c r="A889" s="43" t="s">
        <v>19</v>
      </c>
      <c r="B889" s="43" t="s">
        <v>19</v>
      </c>
      <c r="C889" s="43" t="s">
        <v>19</v>
      </c>
      <c r="D889" s="44">
        <v>32111</v>
      </c>
      <c r="E889" s="45" t="str">
        <f>VLOOKUP(D889,[49]INST!$A$1:$B$626,2,FALSE)</f>
        <v>SERVICES INTERNES</v>
      </c>
      <c r="F889" s="46" t="e">
        <f>SUMIF($B$889:$B$921,"section",F889:F921)</f>
        <v>#VALUE!</v>
      </c>
      <c r="G889" s="46" t="e">
        <f>SUMIF($B$889:$B$921,"section",G889:G921)</f>
        <v>#VALUE!</v>
      </c>
      <c r="H889" s="46">
        <f>SUMIF($B$889:$B$921,"section",H889:H921)</f>
        <v>1477648802.5300002</v>
      </c>
      <c r="I889" s="46">
        <v>1536650726.5000002</v>
      </c>
      <c r="J889" s="46">
        <f>SUMIF($B$889:$B$921,"section",J889:J921)</f>
        <v>1458286584.98</v>
      </c>
      <c r="K889" s="46">
        <f>SUMIF($B$889:$B$921,"section",K889:K921)</f>
        <v>19362217.550000079</v>
      </c>
      <c r="L889" s="47">
        <f t="shared" si="497"/>
        <v>0.98689660390422362</v>
      </c>
      <c r="M889" s="46"/>
      <c r="N889" s="46"/>
      <c r="O889" s="48"/>
      <c r="AO889" s="11"/>
    </row>
    <row r="890" spans="1:42" s="1" customFormat="1" ht="27.75" customHeight="1" thickBot="1" x14ac:dyDescent="0.3">
      <c r="A890" s="50" t="s">
        <v>20</v>
      </c>
      <c r="B890" s="50" t="s">
        <v>20</v>
      </c>
      <c r="C890" s="50" t="s">
        <v>20</v>
      </c>
      <c r="D890" s="51">
        <v>3211111</v>
      </c>
      <c r="E890" s="67" t="s">
        <v>79</v>
      </c>
      <c r="F890" s="68" t="e">
        <f>SUMIF($B$891:$B$897,"article",F891:F897)</f>
        <v>#VALUE!</v>
      </c>
      <c r="G890" s="68" t="e">
        <f>SUMIF($B$891:$B$897,"article",G891:G897)</f>
        <v>#VALUE!</v>
      </c>
      <c r="H890" s="68">
        <f>SUMIF($B$891:$B$897,"article",H891:H897)</f>
        <v>273057886.745</v>
      </c>
      <c r="I890" s="68">
        <v>290043553.64000005</v>
      </c>
      <c r="J890" s="68">
        <f>SUMIF($B$891:$B$897,"article",J891:J897)</f>
        <v>263184439.47</v>
      </c>
      <c r="K890" s="68">
        <f>SUMIF($B$891:$B$897,"article",K891:K897)</f>
        <v>9873447.2750000209</v>
      </c>
      <c r="L890" s="69">
        <f t="shared" si="497"/>
        <v>0.96384119355534126</v>
      </c>
      <c r="M890" s="68"/>
      <c r="N890" s="68"/>
      <c r="O890" s="9"/>
      <c r="Q890" s="23"/>
      <c r="AK890" s="70"/>
      <c r="AL890" s="70"/>
      <c r="AM890" s="70"/>
      <c r="AN890" s="70"/>
      <c r="AO890" s="11">
        <v>3211111</v>
      </c>
    </row>
    <row r="891" spans="1:42" s="62" customFormat="1" ht="27.75" customHeight="1" thickTop="1" thickBot="1" x14ac:dyDescent="0.3">
      <c r="A891" s="56" t="s">
        <v>22</v>
      </c>
      <c r="B891" s="56" t="s">
        <v>22</v>
      </c>
      <c r="C891" s="57">
        <f t="shared" ref="C891:C897" si="498">IF(A890="SECTION",D890,C890)</f>
        <v>3211111</v>
      </c>
      <c r="D891" s="58">
        <v>1</v>
      </c>
      <c r="E891" s="59" t="str">
        <f t="shared" ref="E891:E897" si="499">IF(D891=1, "DEPENSES DE PERSONNEL",  +IF(D891=2,"DEPENSES DE SERVICES ET CHARGES DIVERSES", +IF(D891=3,"ACHATS DE BIENS DE CONSOMMATION ET PETITS MATERIELS",+IF(D891=4,"IMMOBILISATION CORPORELLE",+IF(D891=5,"IMMOBILISATION INCORPORELLE",+IF(D891=7,"SUBVENTIONS,QUOTES-PARTS ET CONTRIB.,ALLOC, INDEMNISATIONS",+IF(D891=8,"AMORTISSEMENT DE LA DETTE",+IF(D891=9,"AUTRES DEPENSES PUBLIQUES",0))))))))</f>
        <v>DEPENSES DE PERSONNEL</v>
      </c>
      <c r="F891" s="60" t="e">
        <f>SUMIFS([49]mensuel_section_article1!$E$3:$E$962,[49]mensuel_section_article1!$B$3:$B$962,C891,[49]mensuel_section_article1!$C$3:$C$962,D891)</f>
        <v>#VALUE!</v>
      </c>
      <c r="G891" s="60" t="e">
        <f>SUMIFS([49]mensuel_section_article1!$G$3:$G$962,[49]mensuel_section_article1!$B$3:$B$962,C891,[49]mensuel_section_article1!$C$3:$C$962,D891)</f>
        <v>#VALUE!</v>
      </c>
      <c r="H891" s="60">
        <v>159495021</v>
      </c>
      <c r="I891" s="60">
        <v>138965484.43000001</v>
      </c>
      <c r="J891" s="60">
        <v>138654168.57999998</v>
      </c>
      <c r="K891" s="60">
        <f t="shared" ref="K891:K897" si="500">+H891-J891</f>
        <v>20840852.420000017</v>
      </c>
      <c r="L891" s="61">
        <f t="shared" si="497"/>
        <v>0.86933226950075126</v>
      </c>
      <c r="M891" s="60"/>
      <c r="N891" s="24"/>
      <c r="O891" s="9"/>
      <c r="Q891" s="63"/>
      <c r="AK891" s="64"/>
      <c r="AL891" s="64"/>
      <c r="AM891" s="64"/>
      <c r="AN891" s="64"/>
      <c r="AO891" s="11">
        <v>3211111</v>
      </c>
      <c r="AP891" s="65" t="str">
        <f t="shared" ref="AP891:AP897" si="501">CONCATENATE(AO891,D891)</f>
        <v>32111111</v>
      </c>
    </row>
    <row r="892" spans="1:42" s="62" customFormat="1" ht="27.75" customHeight="1" thickTop="1" thickBot="1" x14ac:dyDescent="0.3">
      <c r="A892" s="56" t="s">
        <v>22</v>
      </c>
      <c r="B892" s="56" t="s">
        <v>22</v>
      </c>
      <c r="C892" s="57">
        <f t="shared" si="498"/>
        <v>3211111</v>
      </c>
      <c r="D892" s="58">
        <v>2</v>
      </c>
      <c r="E892" s="59" t="str">
        <f t="shared" si="499"/>
        <v>DEPENSES DE SERVICES ET CHARGES DIVERSES</v>
      </c>
      <c r="F892" s="60" t="e">
        <f>SUMIFS([49]mensuel_section_article1!$E$3:$E$962,[49]mensuel_section_article1!$B$3:$B$962,C892,[49]mensuel_section_article1!$C$3:$C$962,D892)</f>
        <v>#VALUE!</v>
      </c>
      <c r="G892" s="60" t="e">
        <f>SUMIFS([49]mensuel_section_article1!$G$3:$G$962,[49]mensuel_section_article1!$B$3:$B$962,C892,[49]mensuel_section_article1!$C$3:$C$962,D892)</f>
        <v>#VALUE!</v>
      </c>
      <c r="H892" s="60">
        <v>18099999.864</v>
      </c>
      <c r="I892" s="60">
        <v>57285370.859999999</v>
      </c>
      <c r="J892" s="60">
        <v>57276308.779999994</v>
      </c>
      <c r="K892" s="60">
        <f t="shared" si="500"/>
        <v>-39176308.915999994</v>
      </c>
      <c r="L892" s="61">
        <f t="shared" si="497"/>
        <v>3.1644369729482555</v>
      </c>
      <c r="M892" s="60"/>
      <c r="N892" s="24"/>
      <c r="O892" s="9"/>
      <c r="Q892" s="63"/>
      <c r="AK892" s="64"/>
      <c r="AL892" s="64"/>
      <c r="AM892" s="64"/>
      <c r="AN892" s="64"/>
      <c r="AO892" s="11">
        <v>3211111</v>
      </c>
      <c r="AP892" s="65" t="str">
        <f t="shared" si="501"/>
        <v>32111112</v>
      </c>
    </row>
    <row r="893" spans="1:42" s="62" customFormat="1" ht="27.75" customHeight="1" thickTop="1" thickBot="1" x14ac:dyDescent="0.3">
      <c r="A893" s="56" t="s">
        <v>22</v>
      </c>
      <c r="B893" s="56" t="s">
        <v>22</v>
      </c>
      <c r="C893" s="57">
        <f t="shared" si="498"/>
        <v>3211111</v>
      </c>
      <c r="D893" s="58">
        <v>3</v>
      </c>
      <c r="E893" s="59" t="str">
        <f t="shared" si="499"/>
        <v>ACHATS DE BIENS DE CONSOMMATION ET PETITS MATERIELS</v>
      </c>
      <c r="F893" s="60" t="e">
        <f>SUMIFS([49]mensuel_section_article1!$E$3:$E$962,[49]mensuel_section_article1!$B$3:$B$962,C893,[49]mensuel_section_article1!$C$3:$C$962,D893)</f>
        <v>#VALUE!</v>
      </c>
      <c r="G893" s="60" t="e">
        <f>SUMIFS([49]mensuel_section_article1!$G$3:$G$962,[49]mensuel_section_article1!$B$3:$B$962,C893,[49]mensuel_section_article1!$C$3:$C$962,D893)</f>
        <v>#VALUE!</v>
      </c>
      <c r="H893" s="60">
        <v>17400000.739999998</v>
      </c>
      <c r="I893" s="60">
        <v>29123544.57</v>
      </c>
      <c r="J893" s="60">
        <v>29121284.379999999</v>
      </c>
      <c r="K893" s="60">
        <f t="shared" si="500"/>
        <v>-11721283.640000001</v>
      </c>
      <c r="L893" s="61">
        <f t="shared" si="497"/>
        <v>1.6736369621556695</v>
      </c>
      <c r="M893" s="60"/>
      <c r="N893" s="24"/>
      <c r="O893" s="9"/>
      <c r="Q893" s="63"/>
      <c r="AK893" s="64"/>
      <c r="AL893" s="64"/>
      <c r="AM893" s="64"/>
      <c r="AN893" s="64"/>
      <c r="AO893" s="11">
        <v>3211111</v>
      </c>
      <c r="AP893" s="65" t="str">
        <f t="shared" si="501"/>
        <v>32111113</v>
      </c>
    </row>
    <row r="894" spans="1:42" s="62" customFormat="1" ht="27.75" customHeight="1" thickTop="1" thickBot="1" x14ac:dyDescent="0.3">
      <c r="A894" s="56" t="s">
        <v>22</v>
      </c>
      <c r="B894" s="56" t="s">
        <v>22</v>
      </c>
      <c r="C894" s="57">
        <f t="shared" si="498"/>
        <v>3211111</v>
      </c>
      <c r="D894" s="58">
        <v>4</v>
      </c>
      <c r="E894" s="59" t="str">
        <f t="shared" si="499"/>
        <v>IMMOBILISATION CORPORELLE</v>
      </c>
      <c r="F894" s="60" t="e">
        <f>SUMIFS([49]mensuel_section_article1!$E$3:$E$962,[49]mensuel_section_article1!$B$3:$B$962,C894,[49]mensuel_section_article1!$C$3:$C$962,D894)</f>
        <v>#VALUE!</v>
      </c>
      <c r="G894" s="60" t="e">
        <f>SUMIFS([49]mensuel_section_article1!$G$3:$G$962,[49]mensuel_section_article1!$B$3:$B$962,C894,[49]mensuel_section_article1!$C$3:$C$962,D894)</f>
        <v>#VALUE!</v>
      </c>
      <c r="H894" s="60">
        <v>18000000</v>
      </c>
      <c r="I894" s="60">
        <v>45043179.68</v>
      </c>
      <c r="J894" s="60">
        <v>18722704.450000003</v>
      </c>
      <c r="K894" s="60">
        <f t="shared" si="500"/>
        <v>-722704.45000000298</v>
      </c>
      <c r="L894" s="61">
        <f t="shared" si="497"/>
        <v>1.0401502472222224</v>
      </c>
      <c r="M894" s="60"/>
      <c r="N894" s="24"/>
      <c r="O894" s="9"/>
      <c r="Q894" s="63"/>
      <c r="AK894" s="64"/>
      <c r="AL894" s="64"/>
      <c r="AM894" s="64"/>
      <c r="AN894" s="64"/>
      <c r="AO894" s="11">
        <v>3211111</v>
      </c>
      <c r="AP894" s="65" t="str">
        <f t="shared" si="501"/>
        <v>32111114</v>
      </c>
    </row>
    <row r="895" spans="1:42" s="62" customFormat="1" ht="27.75" hidden="1" customHeight="1" thickTop="1" thickBot="1" x14ac:dyDescent="0.3">
      <c r="A895" s="56" t="s">
        <v>22</v>
      </c>
      <c r="B895" s="56" t="s">
        <v>22</v>
      </c>
      <c r="C895" s="57">
        <f t="shared" si="498"/>
        <v>3211111</v>
      </c>
      <c r="D895" s="58">
        <v>5</v>
      </c>
      <c r="E895" s="59" t="str">
        <f t="shared" si="499"/>
        <v>IMMOBILISATION INCORPORELLE</v>
      </c>
      <c r="F895" s="60" t="e">
        <f>SUMIFS([49]mensuel_section_article1!$E$3:$E$962,[49]mensuel_section_article1!$B$3:$B$962,C895,[49]mensuel_section_article1!$C$3:$C$962,D895)</f>
        <v>#VALUE!</v>
      </c>
      <c r="G895" s="60" t="e">
        <f>SUMIFS([49]mensuel_section_article1!$G$3:$G$962,[49]mensuel_section_article1!$B$3:$B$962,C895,[49]mensuel_section_article1!$C$3:$C$962,D895)</f>
        <v>#VALUE!</v>
      </c>
      <c r="H895" s="60">
        <v>0</v>
      </c>
      <c r="I895" s="60">
        <v>0</v>
      </c>
      <c r="J895" s="60">
        <v>0</v>
      </c>
      <c r="K895" s="60">
        <f t="shared" si="500"/>
        <v>0</v>
      </c>
      <c r="L895" s="61" t="e">
        <f>IF(F895&lt;&gt;0,K895/F895,0)</f>
        <v>#VALUE!</v>
      </c>
      <c r="M895" s="60" t="e">
        <f>+SUMIFS([51]section_article!$H$10:$H$936,[51]section_article!$C$10:$C$936,C895,[51]section_article!$D$10:$D$936,D895)</f>
        <v>#VALUE!</v>
      </c>
      <c r="N895" s="24" t="e">
        <f t="shared" ref="N891:N897" si="502">+J895-M895</f>
        <v>#VALUE!</v>
      </c>
      <c r="O895" s="9"/>
      <c r="Q895" s="63"/>
      <c r="AK895" s="64"/>
      <c r="AL895" s="64"/>
      <c r="AM895" s="64"/>
      <c r="AN895" s="64"/>
      <c r="AO895" s="11">
        <v>3211111</v>
      </c>
      <c r="AP895" s="65" t="str">
        <f t="shared" si="501"/>
        <v>32111115</v>
      </c>
    </row>
    <row r="896" spans="1:42" s="62" customFormat="1" ht="27.75" customHeight="1" thickTop="1" thickBot="1" x14ac:dyDescent="0.3">
      <c r="A896" s="56" t="s">
        <v>22</v>
      </c>
      <c r="B896" s="56" t="s">
        <v>22</v>
      </c>
      <c r="C896" s="57">
        <f t="shared" si="498"/>
        <v>3211111</v>
      </c>
      <c r="D896" s="58">
        <v>7</v>
      </c>
      <c r="E896" s="59" t="str">
        <f t="shared" si="499"/>
        <v>SUBVENTIONS,QUOTES-PARTS ET CONTRIB.,ALLOC, INDEMNISATIONS</v>
      </c>
      <c r="F896" s="60" t="e">
        <f>SUMIFS([49]mensuel_section_article1!$E$3:$E$962,[49]mensuel_section_article1!$B$3:$B$962,C896,[49]mensuel_section_article1!$C$3:$C$962,D896)</f>
        <v>#VALUE!</v>
      </c>
      <c r="G896" s="60" t="e">
        <f>SUMIFS([49]mensuel_section_article1!$G$3:$G$962,[49]mensuel_section_article1!$B$3:$B$962,C896,[49]mensuel_section_article1!$C$3:$C$962,D896)</f>
        <v>#VALUE!</v>
      </c>
      <c r="H896" s="60">
        <v>700000</v>
      </c>
      <c r="I896" s="60">
        <v>700000</v>
      </c>
      <c r="J896" s="60">
        <v>484000</v>
      </c>
      <c r="K896" s="60">
        <f t="shared" si="500"/>
        <v>216000</v>
      </c>
      <c r="L896" s="61">
        <f t="shared" ref="L896:L902" si="503">+J896/H896</f>
        <v>0.69142857142857139</v>
      </c>
      <c r="M896" s="60"/>
      <c r="N896" s="24"/>
      <c r="O896" s="9"/>
      <c r="Q896" s="63"/>
      <c r="AK896" s="64"/>
      <c r="AL896" s="64"/>
      <c r="AM896" s="64"/>
      <c r="AN896" s="64"/>
      <c r="AO896" s="11">
        <v>3211111</v>
      </c>
      <c r="AP896" s="65" t="str">
        <f t="shared" si="501"/>
        <v>32111117</v>
      </c>
    </row>
    <row r="897" spans="1:42" s="62" customFormat="1" ht="27.75" customHeight="1" thickTop="1" thickBot="1" x14ac:dyDescent="0.3">
      <c r="A897" s="56" t="s">
        <v>22</v>
      </c>
      <c r="B897" s="56" t="s">
        <v>22</v>
      </c>
      <c r="C897" s="57">
        <f t="shared" si="498"/>
        <v>3211111</v>
      </c>
      <c r="D897" s="58">
        <v>9</v>
      </c>
      <c r="E897" s="59" t="str">
        <f t="shared" si="499"/>
        <v>AUTRES DEPENSES PUBLIQUES</v>
      </c>
      <c r="F897" s="60" t="e">
        <f>SUMIFS([49]mensuel_section_article1!$E$3:$E$962,[49]mensuel_section_article1!$B$3:$B$962,C897,[49]mensuel_section_article1!$C$3:$C$962,D897)</f>
        <v>#VALUE!</v>
      </c>
      <c r="G897" s="60" t="e">
        <f>SUMIFS([49]mensuel_section_article1!$G$3:$G$962,[49]mensuel_section_article1!$B$3:$B$962,C897,[49]mensuel_section_article1!$C$3:$C$962,D897)</f>
        <v>#VALUE!</v>
      </c>
      <c r="H897" s="60">
        <v>59362865.141000003</v>
      </c>
      <c r="I897" s="60">
        <v>18925974.100000001</v>
      </c>
      <c r="J897" s="60">
        <v>18925973.280000001</v>
      </c>
      <c r="K897" s="60">
        <f t="shared" si="500"/>
        <v>40436891.861000001</v>
      </c>
      <c r="L897" s="61">
        <f t="shared" si="503"/>
        <v>0.3188183931999678</v>
      </c>
      <c r="M897" s="60"/>
      <c r="N897" s="24"/>
      <c r="O897" s="64"/>
      <c r="P897" s="64"/>
      <c r="Q897" s="64"/>
      <c r="R897" s="64"/>
      <c r="S897" s="64"/>
      <c r="T897" s="64"/>
      <c r="U897" s="64"/>
      <c r="V897" s="64"/>
      <c r="W897" s="64" t="e">
        <f>SUM(#REF!)</f>
        <v>#REF!</v>
      </c>
      <c r="X897" s="64" t="e">
        <f>SUM(#REF!)</f>
        <v>#REF!</v>
      </c>
      <c r="Y897" s="64" t="e">
        <f>SUM(#REF!)</f>
        <v>#REF!</v>
      </c>
      <c r="Z897" s="64" t="e">
        <f>SUM(#REF!)</f>
        <v>#REF!</v>
      </c>
      <c r="AA897" s="64" t="e">
        <f>SUM(#REF!)</f>
        <v>#REF!</v>
      </c>
      <c r="AB897" s="64" t="e">
        <f>SUM(#REF!)</f>
        <v>#REF!</v>
      </c>
      <c r="AC897" s="64" t="e">
        <f>SUM(#REF!)</f>
        <v>#REF!</v>
      </c>
      <c r="AD897" s="64" t="e">
        <f>SUM(#REF!)</f>
        <v>#REF!</v>
      </c>
      <c r="AE897" s="64" t="e">
        <f>SUM(#REF!)</f>
        <v>#REF!</v>
      </c>
      <c r="AF897" s="64" t="e">
        <f>SUM(#REF!)</f>
        <v>#REF!</v>
      </c>
      <c r="AG897" s="64" t="e">
        <f>SUM(#REF!)</f>
        <v>#REF!</v>
      </c>
      <c r="AH897" s="64" t="e">
        <f>SUM(#REF!)</f>
        <v>#REF!</v>
      </c>
      <c r="AI897" s="64" t="e">
        <f>SUM(#REF!)</f>
        <v>#REF!</v>
      </c>
      <c r="AJ897" s="64" t="e">
        <f>SUM(#REF!)</f>
        <v>#REF!</v>
      </c>
      <c r="AK897" s="64"/>
      <c r="AL897" s="64"/>
      <c r="AM897" s="64"/>
      <c r="AN897" s="64" t="e">
        <f>SUM(#REF!)</f>
        <v>#REF!</v>
      </c>
      <c r="AO897" s="11">
        <v>3211111</v>
      </c>
      <c r="AP897" s="65" t="str">
        <f t="shared" si="501"/>
        <v>32111119</v>
      </c>
    </row>
    <row r="898" spans="1:42" s="1" customFormat="1" ht="27.75" customHeight="1" thickTop="1" thickBot="1" x14ac:dyDescent="0.3">
      <c r="A898" s="50" t="s">
        <v>20</v>
      </c>
      <c r="B898" s="50" t="s">
        <v>20</v>
      </c>
      <c r="C898" s="50" t="s">
        <v>20</v>
      </c>
      <c r="D898" s="51">
        <v>3211212</v>
      </c>
      <c r="E898" s="67" t="s">
        <v>146</v>
      </c>
      <c r="F898" s="68" t="e">
        <f>SUMIF($B$899:$B$905,"article",F899:F905)</f>
        <v>#VALUE!</v>
      </c>
      <c r="G898" s="68" t="e">
        <f>SUMIF($B$899:$B$905,"article",G899:G905)</f>
        <v>#VALUE!</v>
      </c>
      <c r="H898" s="68">
        <f>SUMIF($B$899:$B$905,"article",H899:H905)</f>
        <v>142218574.41</v>
      </c>
      <c r="I898" s="68">
        <v>152143770.40000001</v>
      </c>
      <c r="J898" s="68">
        <f>SUMIF($B$899:$B$905,"article",J899:J905)</f>
        <v>150770607.03</v>
      </c>
      <c r="K898" s="68">
        <f>SUMIF($B$899:$B$905,"article",K899:K905)</f>
        <v>-8552032.6199999973</v>
      </c>
      <c r="L898" s="69">
        <f t="shared" si="503"/>
        <v>1.0601330216919871</v>
      </c>
      <c r="M898" s="68"/>
      <c r="N898" s="68"/>
      <c r="O898" s="9"/>
      <c r="Q898" s="23"/>
      <c r="AK898" s="70"/>
      <c r="AL898" s="70"/>
      <c r="AM898" s="70"/>
      <c r="AN898" s="70"/>
      <c r="AO898" s="11">
        <v>3211212</v>
      </c>
    </row>
    <row r="899" spans="1:42" s="62" customFormat="1" ht="27.75" customHeight="1" thickTop="1" thickBot="1" x14ac:dyDescent="0.3">
      <c r="A899" s="56" t="s">
        <v>22</v>
      </c>
      <c r="B899" s="56" t="s">
        <v>22</v>
      </c>
      <c r="C899" s="57">
        <f t="shared" ref="C899:C905" si="504">IF(A898="SECTION",D898,C898)</f>
        <v>3211212</v>
      </c>
      <c r="D899" s="58">
        <v>1</v>
      </c>
      <c r="E899" s="59" t="str">
        <f t="shared" ref="E899:E905" si="505">IF(D899=1, "DEPENSES DE PERSONNEL",  +IF(D899=2,"DEPENSES DE SERVICES ET CHARGES DIVERSES", +IF(D899=3,"ACHATS DE BIENS DE CONSOMMATION ET PETITS MATERIELS",+IF(D899=4,"IMMOBILISATION CORPORELLE",+IF(D899=5,"IMMOBILISATION INCORPORELLE",+IF(D899=7,"SUBVENTIONS,QUOTES-PARTS ET CONTRIB.,ALLOC, INDEMNISATIONS",+IF(D899=8,"AMORTISSEMENT DE LA DETTE",+IF(D899=9,"AUTRES DEPENSES PUBLIQUES",0))))))))</f>
        <v>DEPENSES DE PERSONNEL</v>
      </c>
      <c r="F899" s="60" t="e">
        <f>SUMIFS([49]mensuel_section_article1!$E$3:$E$962,[49]mensuel_section_article1!$B$3:$B$962,C899,[49]mensuel_section_article1!$C$3:$C$962,D899)</f>
        <v>#VALUE!</v>
      </c>
      <c r="G899" s="60" t="e">
        <f>SUMIFS([49]mensuel_section_article1!$G$3:$G$962,[49]mensuel_section_article1!$B$3:$B$962,C899,[49]mensuel_section_article1!$C$3:$C$962,D899)</f>
        <v>#VALUE!</v>
      </c>
      <c r="H899" s="60">
        <v>86694529.319999993</v>
      </c>
      <c r="I899" s="60">
        <v>96497529.299999997</v>
      </c>
      <c r="J899" s="60">
        <v>95124495.199999988</v>
      </c>
      <c r="K899" s="60">
        <f t="shared" ref="K899:K905" si="506">+H899-J899</f>
        <v>-8429965.8799999952</v>
      </c>
      <c r="L899" s="61">
        <f t="shared" si="503"/>
        <v>1.097237575959193</v>
      </c>
      <c r="M899" s="60"/>
      <c r="N899" s="24"/>
      <c r="O899" s="9"/>
      <c r="Q899" s="63"/>
      <c r="AK899" s="64"/>
      <c r="AL899" s="64"/>
      <c r="AM899" s="64"/>
      <c r="AN899" s="64"/>
      <c r="AO899" s="11">
        <v>3211212</v>
      </c>
      <c r="AP899" s="65" t="str">
        <f t="shared" ref="AP899:AP905" si="507">CONCATENATE(AO899,D899)</f>
        <v>32112121</v>
      </c>
    </row>
    <row r="900" spans="1:42" s="62" customFormat="1" ht="27.75" customHeight="1" thickTop="1" thickBot="1" x14ac:dyDescent="0.3">
      <c r="A900" s="56" t="s">
        <v>22</v>
      </c>
      <c r="B900" s="56" t="s">
        <v>22</v>
      </c>
      <c r="C900" s="57">
        <f t="shared" si="504"/>
        <v>3211212</v>
      </c>
      <c r="D900" s="58">
        <v>2</v>
      </c>
      <c r="E900" s="59" t="str">
        <f t="shared" si="505"/>
        <v>DEPENSES DE SERVICES ET CHARGES DIVERSES</v>
      </c>
      <c r="F900" s="60" t="e">
        <f>SUMIFS([49]mensuel_section_article1!$E$3:$E$962,[49]mensuel_section_article1!$B$3:$B$962,C900,[49]mensuel_section_article1!$C$3:$C$962,D900)</f>
        <v>#VALUE!</v>
      </c>
      <c r="G900" s="60" t="e">
        <f>SUMIFS([49]mensuel_section_article1!$G$3:$G$962,[49]mensuel_section_article1!$B$3:$B$962,C900,[49]mensuel_section_article1!$C$3:$C$962,D900)</f>
        <v>#VALUE!</v>
      </c>
      <c r="H900" s="60">
        <v>13769127.52</v>
      </c>
      <c r="I900" s="60">
        <v>14984562.470000003</v>
      </c>
      <c r="J900" s="60">
        <v>14984553.43</v>
      </c>
      <c r="K900" s="60">
        <f t="shared" si="506"/>
        <v>-1215425.9100000001</v>
      </c>
      <c r="L900" s="61">
        <f t="shared" si="503"/>
        <v>1.0882718173852748</v>
      </c>
      <c r="M900" s="60"/>
      <c r="N900" s="24"/>
      <c r="O900" s="9"/>
      <c r="Q900" s="63"/>
      <c r="AK900" s="64"/>
      <c r="AL900" s="64"/>
      <c r="AM900" s="64"/>
      <c r="AN900" s="64"/>
      <c r="AO900" s="11">
        <v>3211212</v>
      </c>
      <c r="AP900" s="65" t="str">
        <f t="shared" si="507"/>
        <v>32112122</v>
      </c>
    </row>
    <row r="901" spans="1:42" s="62" customFormat="1" ht="27.75" customHeight="1" thickTop="1" thickBot="1" x14ac:dyDescent="0.3">
      <c r="A901" s="56" t="s">
        <v>22</v>
      </c>
      <c r="B901" s="56" t="s">
        <v>22</v>
      </c>
      <c r="C901" s="57">
        <f t="shared" si="504"/>
        <v>3211212</v>
      </c>
      <c r="D901" s="58">
        <v>3</v>
      </c>
      <c r="E901" s="59" t="str">
        <f t="shared" si="505"/>
        <v>ACHATS DE BIENS DE CONSOMMATION ET PETITS MATERIELS</v>
      </c>
      <c r="F901" s="60" t="e">
        <f>SUMIFS([49]mensuel_section_article1!$E$3:$E$962,[49]mensuel_section_article1!$B$3:$B$962,C901,[49]mensuel_section_article1!$C$3:$C$962,D901)</f>
        <v>#VALUE!</v>
      </c>
      <c r="G901" s="60" t="e">
        <f>SUMIFS([49]mensuel_section_article1!$G$3:$G$962,[49]mensuel_section_article1!$B$3:$B$962,C901,[49]mensuel_section_article1!$C$3:$C$962,D901)</f>
        <v>#VALUE!</v>
      </c>
      <c r="H901" s="60">
        <v>15407695.789999999</v>
      </c>
      <c r="I901" s="60">
        <v>16791491.829999998</v>
      </c>
      <c r="J901" s="60">
        <v>16791463.920000002</v>
      </c>
      <c r="K901" s="60">
        <f t="shared" si="506"/>
        <v>-1383768.1300000027</v>
      </c>
      <c r="L901" s="61">
        <f t="shared" si="503"/>
        <v>1.0898101928322148</v>
      </c>
      <c r="M901" s="60"/>
      <c r="N901" s="24"/>
      <c r="O901" s="9"/>
      <c r="Q901" s="63"/>
      <c r="AK901" s="64"/>
      <c r="AL901" s="64"/>
      <c r="AM901" s="64"/>
      <c r="AN901" s="64"/>
      <c r="AO901" s="11">
        <v>3211212</v>
      </c>
      <c r="AP901" s="65" t="str">
        <f t="shared" si="507"/>
        <v>32112123</v>
      </c>
    </row>
    <row r="902" spans="1:42" s="62" customFormat="1" ht="27.75" customHeight="1" thickTop="1" thickBot="1" x14ac:dyDescent="0.3">
      <c r="A902" s="56" t="s">
        <v>22</v>
      </c>
      <c r="B902" s="56" t="s">
        <v>22</v>
      </c>
      <c r="C902" s="57">
        <f t="shared" si="504"/>
        <v>3211212</v>
      </c>
      <c r="D902" s="58">
        <v>4</v>
      </c>
      <c r="E902" s="59" t="str">
        <f t="shared" si="505"/>
        <v>IMMOBILISATION CORPORELLE</v>
      </c>
      <c r="F902" s="60" t="e">
        <f>SUMIFS([49]mensuel_section_article1!$E$3:$E$962,[49]mensuel_section_article1!$B$3:$B$962,C902,[49]mensuel_section_article1!$C$3:$C$962,D902)</f>
        <v>#VALUE!</v>
      </c>
      <c r="G902" s="60" t="e">
        <f>SUMIFS([49]mensuel_section_article1!$G$3:$G$962,[49]mensuel_section_article1!$B$3:$B$962,C902,[49]mensuel_section_article1!$C$3:$C$962,D902)</f>
        <v>#VALUE!</v>
      </c>
      <c r="H902" s="60">
        <v>15781393.719999999</v>
      </c>
      <c r="I902" s="60">
        <v>15903358.699999999</v>
      </c>
      <c r="J902" s="60">
        <v>15903354.479999999</v>
      </c>
      <c r="K902" s="60">
        <f t="shared" si="506"/>
        <v>-121960.75999999978</v>
      </c>
      <c r="L902" s="61">
        <f t="shared" si="503"/>
        <v>1.0077281361940447</v>
      </c>
      <c r="M902" s="60"/>
      <c r="N902" s="24"/>
      <c r="O902" s="9"/>
      <c r="Q902" s="63"/>
      <c r="AK902" s="64"/>
      <c r="AL902" s="64"/>
      <c r="AM902" s="64"/>
      <c r="AN902" s="64"/>
      <c r="AO902" s="11">
        <v>3211212</v>
      </c>
      <c r="AP902" s="65" t="str">
        <f t="shared" si="507"/>
        <v>32112124</v>
      </c>
    </row>
    <row r="903" spans="1:42" s="62" customFormat="1" ht="27.75" hidden="1" customHeight="1" thickTop="1" thickBot="1" x14ac:dyDescent="0.3">
      <c r="A903" s="56" t="s">
        <v>22</v>
      </c>
      <c r="B903" s="56" t="s">
        <v>22</v>
      </c>
      <c r="C903" s="57">
        <f t="shared" si="504"/>
        <v>3211212</v>
      </c>
      <c r="D903" s="58">
        <v>5</v>
      </c>
      <c r="E903" s="59" t="str">
        <f t="shared" si="505"/>
        <v>IMMOBILISATION INCORPORELLE</v>
      </c>
      <c r="F903" s="60" t="e">
        <f>SUMIFS([49]mensuel_section_article1!$E$3:$E$962,[49]mensuel_section_article1!$B$3:$B$962,C903,[49]mensuel_section_article1!$C$3:$C$962,D903)</f>
        <v>#VALUE!</v>
      </c>
      <c r="G903" s="60" t="e">
        <f>SUMIFS([49]mensuel_section_article1!$G$3:$G$962,[49]mensuel_section_article1!$B$3:$B$962,C903,[49]mensuel_section_article1!$C$3:$C$962,D903)</f>
        <v>#VALUE!</v>
      </c>
      <c r="H903" s="60">
        <v>0</v>
      </c>
      <c r="I903" s="60">
        <v>0</v>
      </c>
      <c r="J903" s="60">
        <v>0</v>
      </c>
      <c r="K903" s="60">
        <f t="shared" si="506"/>
        <v>0</v>
      </c>
      <c r="L903" s="61" t="e">
        <f>IF(F903&lt;&gt;0,K903/F903,0)</f>
        <v>#VALUE!</v>
      </c>
      <c r="M903" s="60" t="e">
        <f>+SUMIFS([51]section_article!$H$10:$H$936,[51]section_article!$C$10:$C$936,C903,[51]section_article!$D$10:$D$936,D903)</f>
        <v>#VALUE!</v>
      </c>
      <c r="N903" s="24" t="e">
        <f t="shared" ref="N899:N905" si="508">+J903-M903</f>
        <v>#VALUE!</v>
      </c>
      <c r="O903" s="9"/>
      <c r="Q903" s="63"/>
      <c r="AK903" s="64"/>
      <c r="AL903" s="64"/>
      <c r="AM903" s="64"/>
      <c r="AN903" s="64"/>
      <c r="AO903" s="11">
        <v>3211212</v>
      </c>
      <c r="AP903" s="65" t="str">
        <f t="shared" si="507"/>
        <v>32112125</v>
      </c>
    </row>
    <row r="904" spans="1:42" s="62" customFormat="1" ht="27.75" customHeight="1" thickTop="1" thickBot="1" x14ac:dyDescent="0.3">
      <c r="A904" s="56" t="s">
        <v>22</v>
      </c>
      <c r="B904" s="56" t="s">
        <v>22</v>
      </c>
      <c r="C904" s="57">
        <f t="shared" si="504"/>
        <v>3211212</v>
      </c>
      <c r="D904" s="58">
        <v>7</v>
      </c>
      <c r="E904" s="59" t="str">
        <f t="shared" si="505"/>
        <v>SUBVENTIONS,QUOTES-PARTS ET CONTRIB.,ALLOC, INDEMNISATIONS</v>
      </c>
      <c r="F904" s="60" t="e">
        <f>SUMIFS([49]mensuel_section_article1!$E$3:$E$962,[49]mensuel_section_article1!$B$3:$B$962,C904,[49]mensuel_section_article1!$C$3:$C$962,D904)</f>
        <v>#VALUE!</v>
      </c>
      <c r="G904" s="60" t="e">
        <f>SUMIFS([49]mensuel_section_article1!$G$3:$G$962,[49]mensuel_section_article1!$B$3:$B$962,C904,[49]mensuel_section_article1!$C$3:$C$962,D904)</f>
        <v>#VALUE!</v>
      </c>
      <c r="H904" s="60">
        <v>664896.28</v>
      </c>
      <c r="I904" s="60">
        <v>664896.30000000005</v>
      </c>
      <c r="J904" s="60">
        <v>664890</v>
      </c>
      <c r="K904" s="60">
        <f t="shared" si="506"/>
        <v>6.2800000000279397</v>
      </c>
      <c r="L904" s="61">
        <f t="shared" ref="L904:L910" si="509">+J904/H904</f>
        <v>0.99999055491782862</v>
      </c>
      <c r="M904" s="60"/>
      <c r="N904" s="24"/>
      <c r="O904" s="9"/>
      <c r="Q904" s="63"/>
      <c r="AK904" s="64"/>
      <c r="AL904" s="64"/>
      <c r="AM904" s="64"/>
      <c r="AN904" s="64"/>
      <c r="AO904" s="11">
        <v>3211212</v>
      </c>
      <c r="AP904" s="65" t="str">
        <f t="shared" si="507"/>
        <v>32112127</v>
      </c>
    </row>
    <row r="905" spans="1:42" s="62" customFormat="1" ht="27.75" customHeight="1" thickTop="1" thickBot="1" x14ac:dyDescent="0.3">
      <c r="A905" s="56" t="s">
        <v>22</v>
      </c>
      <c r="B905" s="56" t="s">
        <v>22</v>
      </c>
      <c r="C905" s="57">
        <f t="shared" si="504"/>
        <v>3211212</v>
      </c>
      <c r="D905" s="58">
        <v>9</v>
      </c>
      <c r="E905" s="59" t="str">
        <f t="shared" si="505"/>
        <v>AUTRES DEPENSES PUBLIQUES</v>
      </c>
      <c r="F905" s="60" t="e">
        <f>SUMIFS([49]mensuel_section_article1!$E$3:$E$962,[49]mensuel_section_article1!$B$3:$B$962,C905,[49]mensuel_section_article1!$C$3:$C$962,D905)</f>
        <v>#VALUE!</v>
      </c>
      <c r="G905" s="60" t="e">
        <f>SUMIFS([49]mensuel_section_article1!$G$3:$G$962,[49]mensuel_section_article1!$B$3:$B$962,C905,[49]mensuel_section_article1!$C$3:$C$962,D905)</f>
        <v>#VALUE!</v>
      </c>
      <c r="H905" s="60">
        <v>9900931.7800000012</v>
      </c>
      <c r="I905" s="60">
        <v>7301931.7999999998</v>
      </c>
      <c r="J905" s="60">
        <v>7301850</v>
      </c>
      <c r="K905" s="60">
        <f t="shared" si="506"/>
        <v>2599081.7800000012</v>
      </c>
      <c r="L905" s="61">
        <f t="shared" si="509"/>
        <v>0.73749119398538054</v>
      </c>
      <c r="M905" s="60"/>
      <c r="N905" s="24"/>
      <c r="O905" s="9"/>
      <c r="Q905" s="66"/>
      <c r="AK905" s="64"/>
      <c r="AL905" s="64"/>
      <c r="AM905" s="64"/>
      <c r="AN905" s="64"/>
      <c r="AO905" s="11">
        <v>3211212</v>
      </c>
      <c r="AP905" s="65" t="str">
        <f t="shared" si="507"/>
        <v>32112129</v>
      </c>
    </row>
    <row r="906" spans="1:42" s="1" customFormat="1" ht="27.75" customHeight="1" thickTop="1" thickBot="1" x14ac:dyDescent="0.3">
      <c r="A906" s="50" t="s">
        <v>20</v>
      </c>
      <c r="B906" s="50" t="s">
        <v>20</v>
      </c>
      <c r="C906" s="50" t="s">
        <v>20</v>
      </c>
      <c r="D906" s="51">
        <v>3211213</v>
      </c>
      <c r="E906" s="67" t="s">
        <v>147</v>
      </c>
      <c r="F906" s="68" t="e">
        <f>SUMIF($B$907:$B$913,"article",F907:F913)</f>
        <v>#VALUE!</v>
      </c>
      <c r="G906" s="68" t="e">
        <f>SUMIF($B$907:$B$913,"article",G907:G913)</f>
        <v>#VALUE!</v>
      </c>
      <c r="H906" s="68">
        <f>SUMIF($B$907:$B$913,"article",H907:H913)</f>
        <v>124002960.44900002</v>
      </c>
      <c r="I906" s="68">
        <v>140474280.54000002</v>
      </c>
      <c r="J906" s="68">
        <f>SUMIF($B$907:$B$913,"article",J907:J913)</f>
        <v>107807580.11999999</v>
      </c>
      <c r="K906" s="68">
        <f>SUMIF($B$907:$B$913,"article",K907:K913)</f>
        <v>16195380.329000022</v>
      </c>
      <c r="L906" s="69">
        <f t="shared" si="509"/>
        <v>0.86939521225655847</v>
      </c>
      <c r="M906" s="68"/>
      <c r="N906" s="68"/>
      <c r="O906" s="9"/>
      <c r="Q906" s="23"/>
      <c r="AK906" s="70"/>
      <c r="AL906" s="70"/>
      <c r="AM906" s="70"/>
      <c r="AN906" s="70"/>
      <c r="AO906" s="11">
        <v>3211213</v>
      </c>
    </row>
    <row r="907" spans="1:42" s="62" customFormat="1" ht="27.75" customHeight="1" thickTop="1" thickBot="1" x14ac:dyDescent="0.3">
      <c r="A907" s="56" t="s">
        <v>22</v>
      </c>
      <c r="B907" s="56" t="s">
        <v>22</v>
      </c>
      <c r="C907" s="57">
        <f t="shared" ref="C907:C913" si="510">IF(A906="SECTION",D906,C906)</f>
        <v>3211213</v>
      </c>
      <c r="D907" s="58">
        <v>1</v>
      </c>
      <c r="E907" s="59" t="str">
        <f t="shared" ref="E907:E913" si="511">IF(D907=1, "DEPENSES DE PERSONNEL",  +IF(D907=2,"DEPENSES DE SERVICES ET CHARGES DIVERSES", +IF(D907=3,"ACHATS DE BIENS DE CONSOMMATION ET PETITS MATERIELS",+IF(D907=4,"IMMOBILISATION CORPORELLE",+IF(D907=5,"IMMOBILISATION INCORPORELLE",+IF(D907=7,"SUBVENTIONS,QUOTES-PARTS ET CONTRIB.,ALLOC, INDEMNISATIONS",+IF(D907=8,"AMORTISSEMENT DE LA DETTE",+IF(D907=9,"AUTRES DEPENSES PUBLIQUES",0))))))))</f>
        <v>DEPENSES DE PERSONNEL</v>
      </c>
      <c r="F907" s="60" t="e">
        <f>SUMIFS([49]mensuel_section_article1!$E$3:$E$962,[49]mensuel_section_article1!$B$3:$B$962,C907,[49]mensuel_section_article1!$C$3:$C$962,D907)</f>
        <v>#VALUE!</v>
      </c>
      <c r="G907" s="60" t="e">
        <f>SUMIFS([49]mensuel_section_article1!$G$3:$G$962,[49]mensuel_section_article1!$B$3:$B$962,C907,[49]mensuel_section_article1!$C$3:$C$962,D907)</f>
        <v>#VALUE!</v>
      </c>
      <c r="H907" s="60">
        <v>94040903.76000002</v>
      </c>
      <c r="I907" s="60">
        <v>93306268.900000006</v>
      </c>
      <c r="J907" s="60">
        <v>92139584.159999996</v>
      </c>
      <c r="K907" s="60">
        <f t="shared" ref="K907:K913" si="512">+H907-J907</f>
        <v>1901319.6000000238</v>
      </c>
      <c r="L907" s="61">
        <f t="shared" si="509"/>
        <v>0.97978199353706397</v>
      </c>
      <c r="M907" s="60"/>
      <c r="N907" s="24"/>
      <c r="O907" s="9"/>
      <c r="Q907" s="63"/>
      <c r="AK907" s="64"/>
      <c r="AL907" s="64"/>
      <c r="AM907" s="64"/>
      <c r="AN907" s="64"/>
      <c r="AO907" s="11">
        <v>3211213</v>
      </c>
      <c r="AP907" s="65" t="str">
        <f t="shared" ref="AP907:AP913" si="513">CONCATENATE(AO907,D907)</f>
        <v>32112131</v>
      </c>
    </row>
    <row r="908" spans="1:42" s="62" customFormat="1" ht="27.75" customHeight="1" thickTop="1" thickBot="1" x14ac:dyDescent="0.3">
      <c r="A908" s="56" t="s">
        <v>22</v>
      </c>
      <c r="B908" s="56" t="s">
        <v>22</v>
      </c>
      <c r="C908" s="57">
        <f t="shared" si="510"/>
        <v>3211213</v>
      </c>
      <c r="D908" s="58">
        <v>2</v>
      </c>
      <c r="E908" s="59" t="str">
        <f t="shared" si="511"/>
        <v>DEPENSES DE SERVICES ET CHARGES DIVERSES</v>
      </c>
      <c r="F908" s="60" t="e">
        <f>SUMIFS([49]mensuel_section_article1!$E$3:$E$962,[49]mensuel_section_article1!$B$3:$B$962,C908,[49]mensuel_section_article1!$C$3:$C$962,D908)</f>
        <v>#VALUE!</v>
      </c>
      <c r="G908" s="60" t="e">
        <f>SUMIFS([49]mensuel_section_article1!$G$3:$G$962,[49]mensuel_section_article1!$B$3:$B$962,C908,[49]mensuel_section_article1!$C$3:$C$962,D908)</f>
        <v>#VALUE!</v>
      </c>
      <c r="H908" s="60">
        <v>3752045.61</v>
      </c>
      <c r="I908" s="60">
        <v>1728343.29</v>
      </c>
      <c r="J908" s="60">
        <v>1728340.24</v>
      </c>
      <c r="K908" s="60">
        <f t="shared" si="512"/>
        <v>2023705.3699999999</v>
      </c>
      <c r="L908" s="61">
        <f t="shared" si="509"/>
        <v>0.46063945368723813</v>
      </c>
      <c r="M908" s="60"/>
      <c r="N908" s="24"/>
      <c r="O908" s="9"/>
      <c r="Q908" s="63"/>
      <c r="AK908" s="64"/>
      <c r="AL908" s="64"/>
      <c r="AM908" s="64"/>
      <c r="AN908" s="64"/>
      <c r="AO908" s="11">
        <v>3211213</v>
      </c>
      <c r="AP908" s="65" t="str">
        <f t="shared" si="513"/>
        <v>32112132</v>
      </c>
    </row>
    <row r="909" spans="1:42" s="62" customFormat="1" ht="27.75" customHeight="1" thickTop="1" thickBot="1" x14ac:dyDescent="0.3">
      <c r="A909" s="56" t="s">
        <v>22</v>
      </c>
      <c r="B909" s="56" t="s">
        <v>22</v>
      </c>
      <c r="C909" s="57">
        <f t="shared" si="510"/>
        <v>3211213</v>
      </c>
      <c r="D909" s="58">
        <v>3</v>
      </c>
      <c r="E909" s="59" t="str">
        <f t="shared" si="511"/>
        <v>ACHATS DE BIENS DE CONSOMMATION ET PETITS MATERIELS</v>
      </c>
      <c r="F909" s="60" t="e">
        <f>SUMIFS([49]mensuel_section_article1!$E$3:$E$962,[49]mensuel_section_article1!$B$3:$B$962,C909,[49]mensuel_section_article1!$C$3:$C$962,D909)</f>
        <v>#VALUE!</v>
      </c>
      <c r="G909" s="60" t="e">
        <f>SUMIFS([49]mensuel_section_article1!$G$3:$G$962,[49]mensuel_section_article1!$B$3:$B$962,C909,[49]mensuel_section_article1!$C$3:$C$962,D909)</f>
        <v>#VALUE!</v>
      </c>
      <c r="H909" s="60">
        <v>7008919.3389999988</v>
      </c>
      <c r="I909" s="60">
        <v>11916112.33</v>
      </c>
      <c r="J909" s="60">
        <v>11916104.84</v>
      </c>
      <c r="K909" s="60">
        <f t="shared" si="512"/>
        <v>-4907185.5010000011</v>
      </c>
      <c r="L909" s="61">
        <f t="shared" si="509"/>
        <v>1.7001343949979222</v>
      </c>
      <c r="M909" s="60"/>
      <c r="N909" s="24"/>
      <c r="O909" s="9"/>
      <c r="Q909" s="63"/>
      <c r="AK909" s="64"/>
      <c r="AL909" s="64"/>
      <c r="AM909" s="64"/>
      <c r="AN909" s="64"/>
      <c r="AO909" s="11">
        <v>3211213</v>
      </c>
      <c r="AP909" s="65" t="str">
        <f t="shared" si="513"/>
        <v>32112133</v>
      </c>
    </row>
    <row r="910" spans="1:42" s="62" customFormat="1" ht="27.75" customHeight="1" thickTop="1" thickBot="1" x14ac:dyDescent="0.3">
      <c r="A910" s="56" t="s">
        <v>22</v>
      </c>
      <c r="B910" s="56" t="s">
        <v>22</v>
      </c>
      <c r="C910" s="57">
        <f t="shared" si="510"/>
        <v>3211213</v>
      </c>
      <c r="D910" s="58">
        <v>4</v>
      </c>
      <c r="E910" s="59" t="str">
        <f t="shared" si="511"/>
        <v>IMMOBILISATION CORPORELLE</v>
      </c>
      <c r="F910" s="60" t="e">
        <f>SUMIFS([49]mensuel_section_article1!$E$3:$E$962,[49]mensuel_section_article1!$B$3:$B$962,C910,[49]mensuel_section_article1!$C$3:$C$962,D910)</f>
        <v>#VALUE!</v>
      </c>
      <c r="G910" s="60" t="e">
        <f>SUMIFS([49]mensuel_section_article1!$G$3:$G$962,[49]mensuel_section_article1!$B$3:$B$962,C910,[49]mensuel_section_article1!$C$3:$C$962,D910)</f>
        <v>#VALUE!</v>
      </c>
      <c r="H910" s="60">
        <v>14976734.74</v>
      </c>
      <c r="I910" s="60">
        <v>32033555.02</v>
      </c>
      <c r="J910" s="60">
        <v>533550.88</v>
      </c>
      <c r="K910" s="60">
        <f t="shared" si="512"/>
        <v>14443183.859999999</v>
      </c>
      <c r="L910" s="61">
        <f t="shared" si="509"/>
        <v>3.5625314146413199E-2</v>
      </c>
      <c r="M910" s="60"/>
      <c r="N910" s="24"/>
      <c r="O910" s="9"/>
      <c r="Q910" s="63"/>
      <c r="AK910" s="64"/>
      <c r="AL910" s="64"/>
      <c r="AM910" s="64"/>
      <c r="AN910" s="64"/>
      <c r="AO910" s="11">
        <v>3211213</v>
      </c>
      <c r="AP910" s="65" t="str">
        <f t="shared" si="513"/>
        <v>32112134</v>
      </c>
    </row>
    <row r="911" spans="1:42" s="62" customFormat="1" ht="27.75" hidden="1" customHeight="1" thickTop="1" thickBot="1" x14ac:dyDescent="0.3">
      <c r="A911" s="56" t="s">
        <v>22</v>
      </c>
      <c r="B911" s="56" t="s">
        <v>22</v>
      </c>
      <c r="C911" s="57">
        <f t="shared" si="510"/>
        <v>3211213</v>
      </c>
      <c r="D911" s="58">
        <v>5</v>
      </c>
      <c r="E911" s="59" t="str">
        <f t="shared" si="511"/>
        <v>IMMOBILISATION INCORPORELLE</v>
      </c>
      <c r="F911" s="60" t="e">
        <f>SUMIFS([49]mensuel_section_article1!$E$3:$E$962,[49]mensuel_section_article1!$B$3:$B$962,C911,[49]mensuel_section_article1!$C$3:$C$962,D911)</f>
        <v>#VALUE!</v>
      </c>
      <c r="G911" s="60" t="e">
        <f>SUMIFS([49]mensuel_section_article1!$G$3:$G$962,[49]mensuel_section_article1!$B$3:$B$962,C911,[49]mensuel_section_article1!$C$3:$C$962,D911)</f>
        <v>#VALUE!</v>
      </c>
      <c r="H911" s="60">
        <v>0</v>
      </c>
      <c r="I911" s="60">
        <v>0</v>
      </c>
      <c r="J911" s="60">
        <v>0</v>
      </c>
      <c r="K911" s="60">
        <f t="shared" si="512"/>
        <v>0</v>
      </c>
      <c r="L911" s="61" t="e">
        <f>IF(F911&lt;&gt;0,K911/F911,0)</f>
        <v>#VALUE!</v>
      </c>
      <c r="M911" s="60" t="e">
        <f>+SUMIFS([51]section_article!$H$10:$H$936,[51]section_article!$C$10:$C$936,C911,[51]section_article!$D$10:$D$936,D911)</f>
        <v>#VALUE!</v>
      </c>
      <c r="N911" s="24" t="e">
        <f t="shared" ref="N907:N913" si="514">+J911-M911</f>
        <v>#VALUE!</v>
      </c>
      <c r="O911" s="9"/>
      <c r="Q911" s="63"/>
      <c r="AK911" s="64"/>
      <c r="AL911" s="64"/>
      <c r="AM911" s="64"/>
      <c r="AN911" s="64"/>
      <c r="AO911" s="11">
        <v>3211213</v>
      </c>
      <c r="AP911" s="65" t="str">
        <f t="shared" si="513"/>
        <v>32112135</v>
      </c>
    </row>
    <row r="912" spans="1:42" s="62" customFormat="1" ht="27.75" hidden="1" customHeight="1" thickTop="1" thickBot="1" x14ac:dyDescent="0.3">
      <c r="A912" s="56" t="s">
        <v>22</v>
      </c>
      <c r="B912" s="56" t="s">
        <v>22</v>
      </c>
      <c r="C912" s="57">
        <f t="shared" si="510"/>
        <v>3211213</v>
      </c>
      <c r="D912" s="58">
        <v>7</v>
      </c>
      <c r="E912" s="59" t="str">
        <f t="shared" si="511"/>
        <v>SUBVENTIONS,QUOTES-PARTS ET CONTRIB.,ALLOC, INDEMNISATIONS</v>
      </c>
      <c r="F912" s="60" t="e">
        <f>SUMIFS([49]mensuel_section_article1!$E$3:$E$962,[49]mensuel_section_article1!$B$3:$B$962,C912,[49]mensuel_section_article1!$C$3:$C$962,D912)</f>
        <v>#VALUE!</v>
      </c>
      <c r="G912" s="60" t="e">
        <f>SUMIFS([49]mensuel_section_article1!$G$3:$G$962,[49]mensuel_section_article1!$B$3:$B$962,C912,[49]mensuel_section_article1!$C$3:$C$962,D912)</f>
        <v>#VALUE!</v>
      </c>
      <c r="H912" s="60">
        <v>0</v>
      </c>
      <c r="I912" s="60">
        <v>0</v>
      </c>
      <c r="J912" s="60">
        <v>0</v>
      </c>
      <c r="K912" s="60">
        <f t="shared" si="512"/>
        <v>0</v>
      </c>
      <c r="L912" s="61" t="e">
        <f>IF(F912&lt;&gt;0,K912/F912,0)</f>
        <v>#VALUE!</v>
      </c>
      <c r="M912" s="60" t="e">
        <f>+SUMIFS([51]section_article!$H$10:$H$936,[51]section_article!$C$10:$C$936,C912,[51]section_article!$D$10:$D$936,D912)</f>
        <v>#VALUE!</v>
      </c>
      <c r="N912" s="24" t="e">
        <f t="shared" si="514"/>
        <v>#VALUE!</v>
      </c>
      <c r="O912" s="9"/>
      <c r="Q912" s="63"/>
      <c r="AK912" s="64"/>
      <c r="AL912" s="64"/>
      <c r="AM912" s="64"/>
      <c r="AN912" s="64"/>
      <c r="AO912" s="11">
        <v>3211213</v>
      </c>
      <c r="AP912" s="65" t="str">
        <f t="shared" si="513"/>
        <v>32112137</v>
      </c>
    </row>
    <row r="913" spans="1:42" s="62" customFormat="1" ht="27.75" customHeight="1" thickTop="1" thickBot="1" x14ac:dyDescent="0.3">
      <c r="A913" s="56" t="s">
        <v>22</v>
      </c>
      <c r="B913" s="56" t="s">
        <v>22</v>
      </c>
      <c r="C913" s="57">
        <f t="shared" si="510"/>
        <v>3211213</v>
      </c>
      <c r="D913" s="58">
        <v>9</v>
      </c>
      <c r="E913" s="59" t="str">
        <f t="shared" si="511"/>
        <v>AUTRES DEPENSES PUBLIQUES</v>
      </c>
      <c r="F913" s="60" t="e">
        <f>SUMIFS([49]mensuel_section_article1!$E$3:$E$962,[49]mensuel_section_article1!$B$3:$B$962,C913,[49]mensuel_section_article1!$C$3:$C$962,D913)</f>
        <v>#VALUE!</v>
      </c>
      <c r="G913" s="60" t="e">
        <f>SUMIFS([49]mensuel_section_article1!$G$3:$G$962,[49]mensuel_section_article1!$B$3:$B$962,C913,[49]mensuel_section_article1!$C$3:$C$962,D913)</f>
        <v>#VALUE!</v>
      </c>
      <c r="H913" s="60">
        <v>4224357</v>
      </c>
      <c r="I913" s="60">
        <v>1490001</v>
      </c>
      <c r="J913" s="60">
        <v>1490000</v>
      </c>
      <c r="K913" s="60">
        <f t="shared" si="512"/>
        <v>2734357</v>
      </c>
      <c r="L913" s="61">
        <f t="shared" ref="L913:L918" si="515">+J913/H913</f>
        <v>0.35271640157306783</v>
      </c>
      <c r="M913" s="60"/>
      <c r="N913" s="24"/>
      <c r="O913" s="64"/>
      <c r="P913" s="64"/>
      <c r="Q913" s="64"/>
      <c r="R913" s="64"/>
      <c r="S913" s="64"/>
      <c r="T913" s="64"/>
      <c r="U913" s="64"/>
      <c r="V913" s="64"/>
      <c r="W913" s="64" t="e">
        <f>SUM(#REF!)</f>
        <v>#REF!</v>
      </c>
      <c r="X913" s="64" t="e">
        <f>SUM(#REF!)</f>
        <v>#REF!</v>
      </c>
      <c r="Y913" s="64" t="e">
        <f>SUM(#REF!)</f>
        <v>#REF!</v>
      </c>
      <c r="Z913" s="64" t="e">
        <f>SUM(#REF!)</f>
        <v>#REF!</v>
      </c>
      <c r="AA913" s="64" t="e">
        <f>SUM(#REF!)</f>
        <v>#REF!</v>
      </c>
      <c r="AB913" s="64" t="e">
        <f>SUM(#REF!)</f>
        <v>#REF!</v>
      </c>
      <c r="AC913" s="64" t="e">
        <f>SUM(#REF!)</f>
        <v>#REF!</v>
      </c>
      <c r="AD913" s="64" t="e">
        <f>SUM(#REF!)</f>
        <v>#REF!</v>
      </c>
      <c r="AE913" s="64" t="e">
        <f>SUM(#REF!)</f>
        <v>#REF!</v>
      </c>
      <c r="AF913" s="64" t="e">
        <f>SUM(#REF!)</f>
        <v>#REF!</v>
      </c>
      <c r="AG913" s="64" t="e">
        <f>SUM(#REF!)</f>
        <v>#REF!</v>
      </c>
      <c r="AH913" s="64" t="e">
        <f>SUM(#REF!)</f>
        <v>#REF!</v>
      </c>
      <c r="AI913" s="64" t="e">
        <f>SUM(#REF!)</f>
        <v>#REF!</v>
      </c>
      <c r="AJ913" s="64" t="e">
        <f>SUM(#REF!)</f>
        <v>#REF!</v>
      </c>
      <c r="AK913" s="64"/>
      <c r="AL913" s="64"/>
      <c r="AM913" s="64"/>
      <c r="AN913" s="64" t="e">
        <f>SUM(#REF!)</f>
        <v>#REF!</v>
      </c>
      <c r="AO913" s="11">
        <v>3211213</v>
      </c>
      <c r="AP913" s="65" t="str">
        <f t="shared" si="513"/>
        <v>32112139</v>
      </c>
    </row>
    <row r="914" spans="1:42" s="1" customFormat="1" ht="27.75" customHeight="1" thickTop="1" thickBot="1" x14ac:dyDescent="0.3">
      <c r="A914" s="50" t="s">
        <v>20</v>
      </c>
      <c r="B914" s="50" t="s">
        <v>20</v>
      </c>
      <c r="C914" s="50" t="s">
        <v>20</v>
      </c>
      <c r="D914" s="51">
        <v>3211214</v>
      </c>
      <c r="E914" s="67" t="s">
        <v>148</v>
      </c>
      <c r="F914" s="68" t="e">
        <f>SUMIF($B$915:$B$921,"article",F915:F921)</f>
        <v>#VALUE!</v>
      </c>
      <c r="G914" s="68" t="e">
        <f>SUMIF($B$915:$B$921,"article",G915:G921)</f>
        <v>#VALUE!</v>
      </c>
      <c r="H914" s="68">
        <f>SUMIF($B$915:$B$921,"article",H915:H921)</f>
        <v>938369380.92600012</v>
      </c>
      <c r="I914" s="68">
        <v>953989121.92000008</v>
      </c>
      <c r="J914" s="68">
        <f>SUMIF($B$915:$B$921,"article",J915:J921)</f>
        <v>936523958.36000001</v>
      </c>
      <c r="K914" s="68">
        <f>SUMIF($B$915:$B$921,"article",K915:K921)</f>
        <v>1845422.5660000332</v>
      </c>
      <c r="L914" s="69">
        <f t="shared" si="515"/>
        <v>0.99803337299414119</v>
      </c>
      <c r="M914" s="68"/>
      <c r="N914" s="68"/>
      <c r="O914" s="9"/>
      <c r="Q914" s="23"/>
      <c r="AK914" s="70"/>
      <c r="AL914" s="70"/>
      <c r="AM914" s="70"/>
      <c r="AN914" s="70"/>
      <c r="AO914" s="11">
        <v>3211214</v>
      </c>
    </row>
    <row r="915" spans="1:42" s="62" customFormat="1" ht="27.75" customHeight="1" thickTop="1" thickBot="1" x14ac:dyDescent="0.3">
      <c r="A915" s="56" t="s">
        <v>22</v>
      </c>
      <c r="B915" s="56" t="s">
        <v>22</v>
      </c>
      <c r="C915" s="57">
        <f t="shared" ref="C915:C921" si="516">IF(A914="SECTION",D914,C914)</f>
        <v>3211214</v>
      </c>
      <c r="D915" s="58">
        <v>1</v>
      </c>
      <c r="E915" s="59" t="str">
        <f t="shared" ref="E915:E921" si="517">IF(D915=1, "DEPENSES DE PERSONNEL",  +IF(D915=2,"DEPENSES DE SERVICES ET CHARGES DIVERSES", +IF(D915=3,"ACHATS DE BIENS DE CONSOMMATION ET PETITS MATERIELS",+IF(D915=4,"IMMOBILISATION CORPORELLE",+IF(D915=5,"IMMOBILISATION INCORPORELLE",+IF(D915=7,"SUBVENTIONS,QUOTES-PARTS ET CONTRIB.,ALLOC, INDEMNISATIONS",+IF(D915=8,"AMORTISSEMENT DE LA DETTE",+IF(D915=9,"AUTRES DEPENSES PUBLIQUES",0))))))))</f>
        <v>DEPENSES DE PERSONNEL</v>
      </c>
      <c r="F915" s="60" t="e">
        <f>SUMIFS([49]mensuel_section_article1!$E$3:$E$962,[49]mensuel_section_article1!$B$3:$B$962,C915,[49]mensuel_section_article1!$C$3:$C$962,D915)</f>
        <v>#VALUE!</v>
      </c>
      <c r="G915" s="60" t="e">
        <f>SUMIFS([49]mensuel_section_article1!$G$3:$G$962,[49]mensuel_section_article1!$B$3:$B$962,C915,[49]mensuel_section_article1!$C$3:$C$962,D915)</f>
        <v>#VALUE!</v>
      </c>
      <c r="H915" s="60">
        <v>775855429.04999995</v>
      </c>
      <c r="I915" s="60">
        <v>846318524.57000005</v>
      </c>
      <c r="J915" s="60">
        <v>840406270.08999991</v>
      </c>
      <c r="K915" s="60">
        <f t="shared" ref="K915:K921" si="518">+H915-J915</f>
        <v>-64550841.039999962</v>
      </c>
      <c r="L915" s="61">
        <f t="shared" si="515"/>
        <v>1.0831995738162707</v>
      </c>
      <c r="M915" s="60"/>
      <c r="N915" s="24"/>
      <c r="O915" s="9"/>
      <c r="Q915" s="63"/>
      <c r="AK915" s="64"/>
      <c r="AL915" s="64"/>
      <c r="AM915" s="64"/>
      <c r="AN915" s="64"/>
      <c r="AO915" s="11">
        <v>3211214</v>
      </c>
      <c r="AP915" s="65" t="str">
        <f t="shared" ref="AP915:AP921" si="519">CONCATENATE(AO915,D915)</f>
        <v>32112141</v>
      </c>
    </row>
    <row r="916" spans="1:42" s="62" customFormat="1" ht="27.75" customHeight="1" thickTop="1" thickBot="1" x14ac:dyDescent="0.3">
      <c r="A916" s="56" t="s">
        <v>22</v>
      </c>
      <c r="B916" s="56" t="s">
        <v>22</v>
      </c>
      <c r="C916" s="57">
        <f t="shared" si="516"/>
        <v>3211214</v>
      </c>
      <c r="D916" s="58">
        <v>2</v>
      </c>
      <c r="E916" s="59" t="str">
        <f t="shared" si="517"/>
        <v>DEPENSES DE SERVICES ET CHARGES DIVERSES</v>
      </c>
      <c r="F916" s="60" t="e">
        <f>SUMIFS([49]mensuel_section_article1!$E$3:$E$962,[49]mensuel_section_article1!$B$3:$B$962,C916,[49]mensuel_section_article1!$C$3:$C$962,D916)</f>
        <v>#VALUE!</v>
      </c>
      <c r="G916" s="60" t="e">
        <f>SUMIFS([49]mensuel_section_article1!$G$3:$G$962,[49]mensuel_section_article1!$B$3:$B$962,C916,[49]mensuel_section_article1!$C$3:$C$962,D916)</f>
        <v>#VALUE!</v>
      </c>
      <c r="H916" s="60">
        <v>32074491.939999998</v>
      </c>
      <c r="I916" s="60">
        <v>14744589.449999999</v>
      </c>
      <c r="J916" s="60">
        <v>14744480.32</v>
      </c>
      <c r="K916" s="60">
        <f t="shared" si="518"/>
        <v>17330011.619999997</v>
      </c>
      <c r="L916" s="61">
        <f t="shared" si="515"/>
        <v>0.45969489859984985</v>
      </c>
      <c r="M916" s="60"/>
      <c r="N916" s="24"/>
      <c r="O916" s="9"/>
      <c r="Q916" s="63"/>
      <c r="AK916" s="64"/>
      <c r="AL916" s="64"/>
      <c r="AM916" s="64"/>
      <c r="AN916" s="64"/>
      <c r="AO916" s="11">
        <v>3211214</v>
      </c>
      <c r="AP916" s="65" t="str">
        <f t="shared" si="519"/>
        <v>32112142</v>
      </c>
    </row>
    <row r="917" spans="1:42" s="62" customFormat="1" ht="27.75" customHeight="1" thickTop="1" thickBot="1" x14ac:dyDescent="0.3">
      <c r="A917" s="56" t="s">
        <v>22</v>
      </c>
      <c r="B917" s="56" t="s">
        <v>22</v>
      </c>
      <c r="C917" s="57">
        <f t="shared" si="516"/>
        <v>3211214</v>
      </c>
      <c r="D917" s="58">
        <v>3</v>
      </c>
      <c r="E917" s="59" t="str">
        <f t="shared" si="517"/>
        <v>ACHATS DE BIENS DE CONSOMMATION ET PETITS MATERIELS</v>
      </c>
      <c r="F917" s="60" t="e">
        <f>SUMIFS([49]mensuel_section_article1!$E$3:$E$962,[49]mensuel_section_article1!$B$3:$B$962,C917,[49]mensuel_section_article1!$C$3:$C$962,D917)</f>
        <v>#VALUE!</v>
      </c>
      <c r="G917" s="60" t="e">
        <f>SUMIFS([49]mensuel_section_article1!$G$3:$G$962,[49]mensuel_section_article1!$B$3:$B$962,C917,[49]mensuel_section_article1!$C$3:$C$962,D917)</f>
        <v>#VALUE!</v>
      </c>
      <c r="H917" s="60">
        <v>42639496.479999997</v>
      </c>
      <c r="I917" s="60">
        <v>57326762.400000006</v>
      </c>
      <c r="J917" s="60">
        <v>57326706.07</v>
      </c>
      <c r="K917" s="60">
        <f t="shared" si="518"/>
        <v>-14687209.590000004</v>
      </c>
      <c r="L917" s="61">
        <f t="shared" si="515"/>
        <v>1.3444508214793067</v>
      </c>
      <c r="M917" s="60"/>
      <c r="N917" s="24"/>
      <c r="O917" s="9"/>
      <c r="Q917" s="63"/>
      <c r="AK917" s="64"/>
      <c r="AL917" s="64"/>
      <c r="AM917" s="64"/>
      <c r="AN917" s="64"/>
      <c r="AO917" s="11">
        <v>3211214</v>
      </c>
      <c r="AP917" s="65" t="str">
        <f t="shared" si="519"/>
        <v>32112143</v>
      </c>
    </row>
    <row r="918" spans="1:42" s="62" customFormat="1" ht="27.75" customHeight="1" thickTop="1" thickBot="1" x14ac:dyDescent="0.3">
      <c r="A918" s="56" t="s">
        <v>22</v>
      </c>
      <c r="B918" s="56" t="s">
        <v>22</v>
      </c>
      <c r="C918" s="57">
        <f t="shared" si="516"/>
        <v>3211214</v>
      </c>
      <c r="D918" s="58">
        <v>4</v>
      </c>
      <c r="E918" s="59" t="str">
        <f t="shared" si="517"/>
        <v>IMMOBILISATION CORPORELLE</v>
      </c>
      <c r="F918" s="60" t="e">
        <f>SUMIFS([49]mensuel_section_article1!$E$3:$E$962,[49]mensuel_section_article1!$B$3:$B$962,C918,[49]mensuel_section_article1!$C$3:$C$962,D918)</f>
        <v>#VALUE!</v>
      </c>
      <c r="G918" s="60" t="e">
        <f>SUMIFS([49]mensuel_section_article1!$G$3:$G$962,[49]mensuel_section_article1!$B$3:$B$962,C918,[49]mensuel_section_article1!$C$3:$C$962,D918)</f>
        <v>#VALUE!</v>
      </c>
      <c r="H918" s="60">
        <v>57999971.791999996</v>
      </c>
      <c r="I918" s="60">
        <v>13778006.800000001</v>
      </c>
      <c r="J918" s="60">
        <v>2225284.5</v>
      </c>
      <c r="K918" s="60">
        <f t="shared" si="518"/>
        <v>55774687.291999996</v>
      </c>
      <c r="L918" s="61">
        <f t="shared" si="515"/>
        <v>3.8366992797519532E-2</v>
      </c>
      <c r="M918" s="60"/>
      <c r="N918" s="24"/>
      <c r="O918" s="9"/>
      <c r="Q918" s="63"/>
      <c r="AK918" s="64"/>
      <c r="AL918" s="64"/>
      <c r="AM918" s="64"/>
      <c r="AN918" s="64"/>
      <c r="AO918" s="11">
        <v>3211214</v>
      </c>
      <c r="AP918" s="65" t="str">
        <f t="shared" si="519"/>
        <v>32112144</v>
      </c>
    </row>
    <row r="919" spans="1:42" s="62" customFormat="1" ht="27.75" hidden="1" customHeight="1" thickTop="1" thickBot="1" x14ac:dyDescent="0.3">
      <c r="A919" s="56" t="s">
        <v>22</v>
      </c>
      <c r="B919" s="56" t="s">
        <v>22</v>
      </c>
      <c r="C919" s="57">
        <f t="shared" si="516"/>
        <v>3211214</v>
      </c>
      <c r="D919" s="58">
        <v>5</v>
      </c>
      <c r="E919" s="59" t="str">
        <f t="shared" si="517"/>
        <v>IMMOBILISATION INCORPORELLE</v>
      </c>
      <c r="F919" s="60" t="e">
        <f>SUMIFS([49]mensuel_section_article1!$E$3:$E$962,[49]mensuel_section_article1!$B$3:$B$962,C919,[49]mensuel_section_article1!$C$3:$C$962,D919)</f>
        <v>#VALUE!</v>
      </c>
      <c r="G919" s="60" t="e">
        <f>SUMIFS([49]mensuel_section_article1!$G$3:$G$962,[49]mensuel_section_article1!$B$3:$B$962,C919,[49]mensuel_section_article1!$C$3:$C$962,D919)</f>
        <v>#VALUE!</v>
      </c>
      <c r="H919" s="60">
        <v>0</v>
      </c>
      <c r="I919" s="60">
        <v>0</v>
      </c>
      <c r="J919" s="60">
        <v>0</v>
      </c>
      <c r="K919" s="60">
        <f t="shared" si="518"/>
        <v>0</v>
      </c>
      <c r="L919" s="61" t="e">
        <f>IF(F919&lt;&gt;0,K919/F919,0)</f>
        <v>#VALUE!</v>
      </c>
      <c r="M919" s="60" t="e">
        <f>+SUMIFS([51]section_article!$H$10:$H$936,[51]section_article!$C$10:$C$936,C919,[51]section_article!$D$10:$D$936,D919)</f>
        <v>#VALUE!</v>
      </c>
      <c r="N919" s="24" t="e">
        <f t="shared" ref="N915:N921" si="520">+J919-M919</f>
        <v>#VALUE!</v>
      </c>
      <c r="O919" s="9"/>
      <c r="Q919" s="63"/>
      <c r="AK919" s="64"/>
      <c r="AL919" s="64"/>
      <c r="AM919" s="64"/>
      <c r="AN919" s="64"/>
      <c r="AO919" s="11">
        <v>3211214</v>
      </c>
      <c r="AP919" s="65" t="str">
        <f t="shared" si="519"/>
        <v>32112145</v>
      </c>
    </row>
    <row r="920" spans="1:42" s="62" customFormat="1" ht="27.75" hidden="1" customHeight="1" thickTop="1" thickBot="1" x14ac:dyDescent="0.3">
      <c r="A920" s="56" t="s">
        <v>22</v>
      </c>
      <c r="B920" s="56" t="s">
        <v>22</v>
      </c>
      <c r="C920" s="57">
        <f t="shared" si="516"/>
        <v>3211214</v>
      </c>
      <c r="D920" s="58">
        <v>7</v>
      </c>
      <c r="E920" s="59" t="str">
        <f t="shared" si="517"/>
        <v>SUBVENTIONS,QUOTES-PARTS ET CONTRIB.,ALLOC, INDEMNISATIONS</v>
      </c>
      <c r="F920" s="60" t="e">
        <f>SUMIFS([49]mensuel_section_article1!$E$3:$E$962,[49]mensuel_section_article1!$B$3:$B$962,C920,[49]mensuel_section_article1!$C$3:$C$962,D920)</f>
        <v>#VALUE!</v>
      </c>
      <c r="G920" s="60" t="e">
        <f>SUMIFS([49]mensuel_section_article1!$G$3:$G$962,[49]mensuel_section_article1!$B$3:$B$962,C920,[49]mensuel_section_article1!$C$3:$C$962,D920)</f>
        <v>#VALUE!</v>
      </c>
      <c r="H920" s="60">
        <v>0</v>
      </c>
      <c r="I920" s="60">
        <v>0</v>
      </c>
      <c r="J920" s="60">
        <v>0</v>
      </c>
      <c r="K920" s="60">
        <f t="shared" si="518"/>
        <v>0</v>
      </c>
      <c r="L920" s="61" t="e">
        <f>IF(F920&lt;&gt;0,K920/F920,0)</f>
        <v>#VALUE!</v>
      </c>
      <c r="M920" s="60" t="e">
        <f>+SUMIFS([51]section_article!$H$10:$H$936,[51]section_article!$C$10:$C$936,C920,[51]section_article!$D$10:$D$936,D920)</f>
        <v>#VALUE!</v>
      </c>
      <c r="N920" s="24" t="e">
        <f t="shared" si="520"/>
        <v>#VALUE!</v>
      </c>
      <c r="O920" s="9"/>
      <c r="Q920" s="63"/>
      <c r="AK920" s="64"/>
      <c r="AL920" s="64"/>
      <c r="AM920" s="64"/>
      <c r="AN920" s="64"/>
      <c r="AO920" s="11">
        <v>3211214</v>
      </c>
      <c r="AP920" s="65" t="str">
        <f t="shared" si="519"/>
        <v>32112147</v>
      </c>
    </row>
    <row r="921" spans="1:42" s="62" customFormat="1" ht="27.75" customHeight="1" thickTop="1" thickBot="1" x14ac:dyDescent="0.3">
      <c r="A921" s="56" t="s">
        <v>22</v>
      </c>
      <c r="B921" s="56" t="s">
        <v>22</v>
      </c>
      <c r="C921" s="57">
        <f t="shared" si="516"/>
        <v>3211214</v>
      </c>
      <c r="D921" s="58">
        <v>9</v>
      </c>
      <c r="E921" s="59" t="str">
        <f t="shared" si="517"/>
        <v>AUTRES DEPENSES PUBLIQUES</v>
      </c>
      <c r="F921" s="60" t="e">
        <f>SUMIFS([49]mensuel_section_article1!$E$3:$E$962,[49]mensuel_section_article1!$B$3:$B$962,C921,[49]mensuel_section_article1!$C$3:$C$962,D921)</f>
        <v>#VALUE!</v>
      </c>
      <c r="G921" s="60" t="e">
        <f>SUMIFS([49]mensuel_section_article1!$G$3:$G$962,[49]mensuel_section_article1!$B$3:$B$962,C921,[49]mensuel_section_article1!$C$3:$C$962,D921)</f>
        <v>#VALUE!</v>
      </c>
      <c r="H921" s="60">
        <v>29799991.664000005</v>
      </c>
      <c r="I921" s="60">
        <v>21821238.700000003</v>
      </c>
      <c r="J921" s="60">
        <v>21821217.379999999</v>
      </c>
      <c r="K921" s="60">
        <f t="shared" si="518"/>
        <v>7978774.2840000056</v>
      </c>
      <c r="L921" s="61">
        <f t="shared" ref="L921:L929" si="521">+J921/H921</f>
        <v>0.73225582161357461</v>
      </c>
      <c r="M921" s="60"/>
      <c r="N921" s="24"/>
      <c r="O921" s="9"/>
      <c r="Q921" s="63"/>
      <c r="AK921" s="64"/>
      <c r="AL921" s="64"/>
      <c r="AM921" s="64"/>
      <c r="AN921" s="64"/>
      <c r="AO921" s="11">
        <v>3211214</v>
      </c>
      <c r="AP921" s="65" t="str">
        <f t="shared" si="519"/>
        <v>32112149</v>
      </c>
    </row>
    <row r="922" spans="1:42" s="1" customFormat="1" ht="27.75" customHeight="1" thickTop="1" x14ac:dyDescent="0.25">
      <c r="A922" s="113" t="s">
        <v>12</v>
      </c>
      <c r="B922" s="113" t="s">
        <v>12</v>
      </c>
      <c r="C922" s="113" t="s">
        <v>12</v>
      </c>
      <c r="D922" s="26">
        <v>4</v>
      </c>
      <c r="E922" s="114" t="s">
        <v>149</v>
      </c>
      <c r="F922" s="115" t="e">
        <f>SUMIF($B$923:$B$964,"MIN",F923:F964)</f>
        <v>#VALUE!</v>
      </c>
      <c r="G922" s="115" t="e">
        <f>SUMIF($B$923:$B$964,"MIN",G923:G964)</f>
        <v>#VALUE!</v>
      </c>
      <c r="H922" s="115">
        <f>SUMIF($B$923:$B$964,"MIN",H923:H964)</f>
        <v>2623036481.0379996</v>
      </c>
      <c r="I922" s="115">
        <v>2623036481</v>
      </c>
      <c r="J922" s="115">
        <f>SUMIF($B$923:$B$964,"MIN",J923:J964)</f>
        <v>2559048012.3000002</v>
      </c>
      <c r="K922" s="115">
        <f>SUMIF($B$923:$B$964,"MIN",K923:K964)</f>
        <v>63988468.737999581</v>
      </c>
      <c r="L922" s="116">
        <f t="shared" si="521"/>
        <v>0.97560519298889903</v>
      </c>
      <c r="M922" s="115"/>
      <c r="N922" s="115"/>
      <c r="O922" s="9"/>
      <c r="Q922" s="23"/>
      <c r="AK922" s="117"/>
      <c r="AL922" s="117"/>
      <c r="AM922" s="117"/>
      <c r="AN922" s="117"/>
      <c r="AO922" s="11"/>
      <c r="AP922" s="118"/>
    </row>
    <row r="923" spans="1:42" s="1" customFormat="1" ht="27.75" customHeight="1" x14ac:dyDescent="0.25">
      <c r="A923" s="37" t="s">
        <v>16</v>
      </c>
      <c r="B923" s="37" t="s">
        <v>16</v>
      </c>
      <c r="C923" s="37" t="s">
        <v>16</v>
      </c>
      <c r="D923" s="73">
        <v>4111</v>
      </c>
      <c r="E923" s="74" t="s">
        <v>150</v>
      </c>
      <c r="F923" s="75" t="e">
        <f>SUMIF($B$924:$B$932,"chap",F924:F932)</f>
        <v>#VALUE!</v>
      </c>
      <c r="G923" s="75" t="e">
        <f>SUMIF($B$924:$B$932,"chap",G924:G932)</f>
        <v>#VALUE!</v>
      </c>
      <c r="H923" s="75">
        <f>SUMIF($B$924:$B$932,"chap",H924:H932)</f>
        <v>718364543.55999982</v>
      </c>
      <c r="I923" s="75">
        <v>718364543.5</v>
      </c>
      <c r="J923" s="75">
        <f>SUMIF($B$924:$B$932,"chap",J924:J932)</f>
        <v>712347549.1099999</v>
      </c>
      <c r="K923" s="75">
        <f>SUMIF($B$924:$B$932,"chap",K924:K932)</f>
        <v>6016994.4499998</v>
      </c>
      <c r="L923" s="76">
        <f t="shared" si="521"/>
        <v>0.99162403753923944</v>
      </c>
      <c r="M923" s="75"/>
      <c r="N923" s="75"/>
      <c r="O923" s="9"/>
      <c r="Q923" s="23"/>
      <c r="AK923" s="77"/>
      <c r="AL923" s="77"/>
      <c r="AM923" s="77"/>
      <c r="AN923" s="77"/>
      <c r="AO923" s="11"/>
    </row>
    <row r="924" spans="1:42" s="49" customFormat="1" ht="27.75" customHeight="1" x14ac:dyDescent="0.25">
      <c r="A924" s="43" t="s">
        <v>19</v>
      </c>
      <c r="B924" s="43" t="s">
        <v>19</v>
      </c>
      <c r="C924" s="43" t="s">
        <v>19</v>
      </c>
      <c r="D924" s="44">
        <v>41111</v>
      </c>
      <c r="E924" s="45" t="str">
        <f>VLOOKUP(D924,[49]INST!$A$1:$B$626,2,FALSE)</f>
        <v>SERVICES INTERNES</v>
      </c>
      <c r="F924" s="46" t="e">
        <f>SUMIF($B$925:$B$932,"section",F925:F932)</f>
        <v>#VALUE!</v>
      </c>
      <c r="G924" s="46" t="e">
        <f>SUMIF($B$925:$B$932,"section",G925:G932)</f>
        <v>#VALUE!</v>
      </c>
      <c r="H924" s="46">
        <f>SUMIF($B$925:$B$932,"section",H925:H932)</f>
        <v>718364543.55999982</v>
      </c>
      <c r="I924" s="46">
        <v>718364543.5</v>
      </c>
      <c r="J924" s="46">
        <f>SUMIF($B$925:$B$932,"section",J925:J932)</f>
        <v>712347549.1099999</v>
      </c>
      <c r="K924" s="46">
        <f>SUMIF($B$925:$B$932,"section",K925:K932)</f>
        <v>6016994.4499998</v>
      </c>
      <c r="L924" s="47">
        <f t="shared" si="521"/>
        <v>0.99162403753923944</v>
      </c>
      <c r="M924" s="46"/>
      <c r="N924" s="46"/>
      <c r="O924" s="48"/>
      <c r="AO924" s="11"/>
    </row>
    <row r="925" spans="1:42" s="1" customFormat="1" ht="27.75" customHeight="1" thickBot="1" x14ac:dyDescent="0.3">
      <c r="A925" s="50" t="s">
        <v>20</v>
      </c>
      <c r="B925" s="50" t="s">
        <v>20</v>
      </c>
      <c r="C925" s="50" t="s">
        <v>20</v>
      </c>
      <c r="D925" s="51">
        <v>4111111</v>
      </c>
      <c r="E925" s="67" t="s">
        <v>151</v>
      </c>
      <c r="F925" s="68" t="e">
        <f>SUMIF($B$926:$B$932,"article",F926:F932)</f>
        <v>#VALUE!</v>
      </c>
      <c r="G925" s="68" t="e">
        <f>SUMIF($B$926:$B$932,"article",G926:G932)</f>
        <v>#VALUE!</v>
      </c>
      <c r="H925" s="68">
        <f>SUMIF($B$926:$B$932,"article",H926:H932)</f>
        <v>718364543.55999982</v>
      </c>
      <c r="I925" s="68">
        <v>718364543.5</v>
      </c>
      <c r="J925" s="68">
        <f>SUMIF($B$926:$B$932,"article",J926:J932)</f>
        <v>712347549.1099999</v>
      </c>
      <c r="K925" s="68">
        <f>SUMIF($B$926:$B$932,"article",K926:K932)</f>
        <v>6016994.4499998</v>
      </c>
      <c r="L925" s="69">
        <f t="shared" si="521"/>
        <v>0.99162403753923944</v>
      </c>
      <c r="M925" s="68"/>
      <c r="N925" s="68"/>
      <c r="O925" s="9"/>
      <c r="Q925" s="23"/>
      <c r="AK925" s="70"/>
      <c r="AL925" s="70"/>
      <c r="AM925" s="70"/>
      <c r="AN925" s="70"/>
      <c r="AO925" s="11">
        <v>4111111</v>
      </c>
    </row>
    <row r="926" spans="1:42" s="62" customFormat="1" ht="27.75" customHeight="1" thickTop="1" thickBot="1" x14ac:dyDescent="0.3">
      <c r="A926" s="56" t="s">
        <v>22</v>
      </c>
      <c r="B926" s="56" t="s">
        <v>22</v>
      </c>
      <c r="C926" s="57">
        <f t="shared" ref="C926:C932" si="522">IF(A925="SECTION",D925,C925)</f>
        <v>4111111</v>
      </c>
      <c r="D926" s="58">
        <v>1</v>
      </c>
      <c r="E926" s="59" t="str">
        <f t="shared" ref="E926:E932" si="523">IF(D926=1, "DEPENSES DE PERSONNEL",  +IF(D926=2,"DEPENSES DE SERVICES ET CHARGES DIVERSES", +IF(D926=3,"ACHATS DE BIENS DE CONSOMMATION ET PETITS MATERIELS",+IF(D926=4,"IMMOBILISATION CORPORELLE",+IF(D926=5,"IMMOBILISATION INCORPORELLE",+IF(D926=7,"SUBVENTIONS,QUOTES-PARTS ET CONTRIB.,ALLOC, INDEMNISATIONS",+IF(D926=8,"AMORTISSEMENT DE LA DETTE",+IF(D926=9,"AUTRES DEPENSES PUBLIQUES",0))))))))</f>
        <v>DEPENSES DE PERSONNEL</v>
      </c>
      <c r="F926" s="60" t="e">
        <f>SUMIFS([49]mensuel_section_article1!$E$3:$E$962,[49]mensuel_section_article1!$B$3:$B$962,C926,[49]mensuel_section_article1!$C$3:$C$962,D926)</f>
        <v>#VALUE!</v>
      </c>
      <c r="G926" s="60" t="e">
        <f>SUMIFS([49]mensuel_section_article1!$G$3:$G$962,[49]mensuel_section_article1!$B$3:$B$962,C926,[49]mensuel_section_article1!$C$3:$C$962,D926)</f>
        <v>#VALUE!</v>
      </c>
      <c r="H926" s="60">
        <v>429050836.15999979</v>
      </c>
      <c r="I926" s="60">
        <v>429050836.19999999</v>
      </c>
      <c r="J926" s="60">
        <v>426824982.38</v>
      </c>
      <c r="K926" s="60">
        <f t="shared" ref="K926:K932" si="524">+H926-J926</f>
        <v>2225853.7799997926</v>
      </c>
      <c r="L926" s="61">
        <f t="shared" si="521"/>
        <v>0.99481214440712629</v>
      </c>
      <c r="M926" s="60"/>
      <c r="N926" s="24"/>
      <c r="O926" s="9"/>
      <c r="Q926" s="63"/>
      <c r="AK926" s="64"/>
      <c r="AL926" s="64"/>
      <c r="AM926" s="64"/>
      <c r="AN926" s="64"/>
      <c r="AO926" s="11">
        <v>4111111</v>
      </c>
      <c r="AP926" s="65" t="str">
        <f t="shared" ref="AP926:AP932" si="525">CONCATENATE(AO926,D926)</f>
        <v>41111111</v>
      </c>
    </row>
    <row r="927" spans="1:42" s="62" customFormat="1" ht="27.75" customHeight="1" thickTop="1" thickBot="1" x14ac:dyDescent="0.3">
      <c r="A927" s="56" t="s">
        <v>22</v>
      </c>
      <c r="B927" s="56" t="s">
        <v>22</v>
      </c>
      <c r="C927" s="57">
        <f t="shared" si="522"/>
        <v>4111111</v>
      </c>
      <c r="D927" s="58">
        <v>2</v>
      </c>
      <c r="E927" s="59" t="str">
        <f t="shared" si="523"/>
        <v>DEPENSES DE SERVICES ET CHARGES DIVERSES</v>
      </c>
      <c r="F927" s="60" t="e">
        <f>SUMIFS([49]mensuel_section_article1!$E$3:$E$962,[49]mensuel_section_article1!$B$3:$B$962,C927,[49]mensuel_section_article1!$C$3:$C$962,D927)</f>
        <v>#VALUE!</v>
      </c>
      <c r="G927" s="60" t="e">
        <f>SUMIFS([49]mensuel_section_article1!$G$3:$G$962,[49]mensuel_section_article1!$B$3:$B$962,C927,[49]mensuel_section_article1!$C$3:$C$962,D927)</f>
        <v>#VALUE!</v>
      </c>
      <c r="H927" s="60">
        <v>37257963.439999998</v>
      </c>
      <c r="I927" s="60">
        <v>57269533.410000011</v>
      </c>
      <c r="J927" s="60">
        <v>56084122.700000003</v>
      </c>
      <c r="K927" s="60">
        <f t="shared" si="524"/>
        <v>-18826159.260000005</v>
      </c>
      <c r="L927" s="61">
        <f t="shared" si="521"/>
        <v>1.5052922253874004</v>
      </c>
      <c r="M927" s="60"/>
      <c r="N927" s="24"/>
      <c r="O927" s="9"/>
      <c r="Q927" s="63"/>
      <c r="AK927" s="64"/>
      <c r="AL927" s="64"/>
      <c r="AM927" s="64"/>
      <c r="AN927" s="64"/>
      <c r="AO927" s="11">
        <v>4111111</v>
      </c>
      <c r="AP927" s="65" t="str">
        <f t="shared" si="525"/>
        <v>41111112</v>
      </c>
    </row>
    <row r="928" spans="1:42" s="62" customFormat="1" ht="27.75" customHeight="1" thickTop="1" thickBot="1" x14ac:dyDescent="0.3">
      <c r="A928" s="56" t="s">
        <v>22</v>
      </c>
      <c r="B928" s="56" t="s">
        <v>22</v>
      </c>
      <c r="C928" s="57">
        <f t="shared" si="522"/>
        <v>4111111</v>
      </c>
      <c r="D928" s="58">
        <v>3</v>
      </c>
      <c r="E928" s="59" t="str">
        <f t="shared" si="523"/>
        <v>ACHATS DE BIENS DE CONSOMMATION ET PETITS MATERIELS</v>
      </c>
      <c r="F928" s="60" t="e">
        <f>SUMIFS([49]mensuel_section_article1!$E$3:$E$962,[49]mensuel_section_article1!$B$3:$B$962,C928,[49]mensuel_section_article1!$C$3:$C$962,D928)</f>
        <v>#VALUE!</v>
      </c>
      <c r="G928" s="60" t="e">
        <f>SUMIFS([49]mensuel_section_article1!$G$3:$G$962,[49]mensuel_section_article1!$B$3:$B$962,C928,[49]mensuel_section_article1!$C$3:$C$962,D928)</f>
        <v>#VALUE!</v>
      </c>
      <c r="H928" s="60">
        <v>27211599.719999999</v>
      </c>
      <c r="I928" s="60">
        <v>27522174.690000001</v>
      </c>
      <c r="J928" s="60">
        <v>27184219.830000002</v>
      </c>
      <c r="K928" s="60">
        <f t="shared" si="524"/>
        <v>27379.889999996871</v>
      </c>
      <c r="L928" s="61">
        <f t="shared" si="521"/>
        <v>0.99899381549479893</v>
      </c>
      <c r="M928" s="60"/>
      <c r="N928" s="24"/>
      <c r="O928" s="9"/>
      <c r="Q928" s="66"/>
      <c r="AK928" s="64"/>
      <c r="AL928" s="64"/>
      <c r="AM928" s="64"/>
      <c r="AN928" s="64"/>
      <c r="AO928" s="11">
        <v>4111111</v>
      </c>
      <c r="AP928" s="65" t="str">
        <f t="shared" si="525"/>
        <v>41111113</v>
      </c>
    </row>
    <row r="929" spans="1:42" s="62" customFormat="1" ht="27.75" customHeight="1" thickTop="1" thickBot="1" x14ac:dyDescent="0.3">
      <c r="A929" s="56" t="s">
        <v>22</v>
      </c>
      <c r="B929" s="56" t="s">
        <v>22</v>
      </c>
      <c r="C929" s="57">
        <f t="shared" si="522"/>
        <v>4111111</v>
      </c>
      <c r="D929" s="58">
        <v>4</v>
      </c>
      <c r="E929" s="59" t="str">
        <f t="shared" si="523"/>
        <v>IMMOBILISATION CORPORELLE</v>
      </c>
      <c r="F929" s="60" t="e">
        <f>SUMIFS([49]mensuel_section_article1!$E$3:$E$962,[49]mensuel_section_article1!$B$3:$B$962,C929,[49]mensuel_section_article1!$C$3:$C$962,D929)</f>
        <v>#VALUE!</v>
      </c>
      <c r="G929" s="60" t="e">
        <f>SUMIFS([49]mensuel_section_article1!$G$3:$G$962,[49]mensuel_section_article1!$B$3:$B$962,C929,[49]mensuel_section_article1!$C$3:$C$962,D929)</f>
        <v>#VALUE!</v>
      </c>
      <c r="H929" s="60">
        <v>12205237.199999999</v>
      </c>
      <c r="I929" s="60">
        <v>12205237.199999999</v>
      </c>
      <c r="J929" s="60">
        <v>10686757.43</v>
      </c>
      <c r="K929" s="60">
        <f t="shared" si="524"/>
        <v>1518479.7699999996</v>
      </c>
      <c r="L929" s="61">
        <f t="shared" si="521"/>
        <v>0.87558785256545446</v>
      </c>
      <c r="M929" s="60"/>
      <c r="N929" s="24"/>
      <c r="O929" s="9"/>
      <c r="Q929" s="63"/>
      <c r="AK929" s="64"/>
      <c r="AL929" s="64"/>
      <c r="AM929" s="64"/>
      <c r="AN929" s="64"/>
      <c r="AO929" s="11">
        <v>4111111</v>
      </c>
      <c r="AP929" s="65" t="str">
        <f t="shared" si="525"/>
        <v>41111114</v>
      </c>
    </row>
    <row r="930" spans="1:42" s="62" customFormat="1" ht="27.75" hidden="1" customHeight="1" thickTop="1" thickBot="1" x14ac:dyDescent="0.3">
      <c r="A930" s="56" t="s">
        <v>22</v>
      </c>
      <c r="B930" s="56" t="s">
        <v>22</v>
      </c>
      <c r="C930" s="57">
        <f t="shared" si="522"/>
        <v>4111111</v>
      </c>
      <c r="D930" s="58">
        <v>5</v>
      </c>
      <c r="E930" s="59" t="str">
        <f t="shared" si="523"/>
        <v>IMMOBILISATION INCORPORELLE</v>
      </c>
      <c r="F930" s="60" t="e">
        <f>SUMIFS([49]mensuel_section_article1!$E$3:$E$962,[49]mensuel_section_article1!$B$3:$B$962,C930,[49]mensuel_section_article1!$C$3:$C$962,D930)</f>
        <v>#VALUE!</v>
      </c>
      <c r="G930" s="60" t="e">
        <f>SUMIFS([49]mensuel_section_article1!$G$3:$G$962,[49]mensuel_section_article1!$B$3:$B$962,C930,[49]mensuel_section_article1!$C$3:$C$962,D930)</f>
        <v>#VALUE!</v>
      </c>
      <c r="H930" s="60">
        <v>0</v>
      </c>
      <c r="I930" s="60">
        <v>0</v>
      </c>
      <c r="J930" s="60">
        <v>0</v>
      </c>
      <c r="K930" s="60">
        <f t="shared" si="524"/>
        <v>0</v>
      </c>
      <c r="L930" s="61" t="e">
        <f>IF(F930&lt;&gt;0,K930/F930,0)</f>
        <v>#VALUE!</v>
      </c>
      <c r="M930" s="60" t="e">
        <f>+SUMIFS([51]section_article!$H$10:$H$936,[51]section_article!$C$10:$C$936,C930,[51]section_article!$D$10:$D$936,D930)</f>
        <v>#VALUE!</v>
      </c>
      <c r="N930" s="24" t="e">
        <f t="shared" ref="N926:N932" si="526">+J930-M930</f>
        <v>#VALUE!</v>
      </c>
      <c r="O930" s="9"/>
      <c r="Q930" s="63"/>
      <c r="AK930" s="64"/>
      <c r="AL930" s="64"/>
      <c r="AM930" s="64"/>
      <c r="AN930" s="64"/>
      <c r="AO930" s="11">
        <v>4111111</v>
      </c>
      <c r="AP930" s="65" t="str">
        <f t="shared" si="525"/>
        <v>41111115</v>
      </c>
    </row>
    <row r="931" spans="1:42" s="62" customFormat="1" ht="27.75" customHeight="1" thickTop="1" thickBot="1" x14ac:dyDescent="0.3">
      <c r="A931" s="56" t="s">
        <v>22</v>
      </c>
      <c r="B931" s="56" t="s">
        <v>22</v>
      </c>
      <c r="C931" s="57">
        <f t="shared" si="522"/>
        <v>4111111</v>
      </c>
      <c r="D931" s="58">
        <v>7</v>
      </c>
      <c r="E931" s="59" t="str">
        <f t="shared" si="523"/>
        <v>SUBVENTIONS,QUOTES-PARTS ET CONTRIB.,ALLOC, INDEMNISATIONS</v>
      </c>
      <c r="F931" s="60" t="e">
        <f>SUMIFS([49]mensuel_section_article1!$E$3:$E$962,[49]mensuel_section_article1!$B$3:$B$962,C931,[49]mensuel_section_article1!$C$3:$C$962,D931)</f>
        <v>#VALUE!</v>
      </c>
      <c r="G931" s="60" t="e">
        <f>SUMIFS([49]mensuel_section_article1!$G$3:$G$962,[49]mensuel_section_article1!$B$3:$B$962,C931,[49]mensuel_section_article1!$C$3:$C$962,D931)</f>
        <v>#VALUE!</v>
      </c>
      <c r="H931" s="60">
        <v>931157.12000000011</v>
      </c>
      <c r="I931" s="60">
        <v>931157.1</v>
      </c>
      <c r="J931" s="60">
        <v>181964.27</v>
      </c>
      <c r="K931" s="60">
        <f t="shared" si="524"/>
        <v>749192.85000000009</v>
      </c>
      <c r="L931" s="61">
        <f t="shared" ref="L931:L939" si="527">+J931/H931</f>
        <v>0.19541736415010172</v>
      </c>
      <c r="M931" s="60"/>
      <c r="N931" s="24"/>
      <c r="O931" s="9"/>
      <c r="Q931" s="63"/>
      <c r="AK931" s="64"/>
      <c r="AL931" s="64"/>
      <c r="AM931" s="64"/>
      <c r="AN931" s="64"/>
      <c r="AO931" s="11">
        <v>4111111</v>
      </c>
      <c r="AP931" s="65" t="str">
        <f t="shared" si="525"/>
        <v>41111117</v>
      </c>
    </row>
    <row r="932" spans="1:42" s="62" customFormat="1" ht="27.75" customHeight="1" thickTop="1" thickBot="1" x14ac:dyDescent="0.3">
      <c r="A932" s="56" t="s">
        <v>22</v>
      </c>
      <c r="B932" s="56" t="s">
        <v>22</v>
      </c>
      <c r="C932" s="57">
        <f t="shared" si="522"/>
        <v>4111111</v>
      </c>
      <c r="D932" s="58">
        <v>9</v>
      </c>
      <c r="E932" s="59" t="str">
        <f t="shared" si="523"/>
        <v>AUTRES DEPENSES PUBLIQUES</v>
      </c>
      <c r="F932" s="60" t="e">
        <f>SUMIFS([49]mensuel_section_article1!$E$3:$E$962,[49]mensuel_section_article1!$B$3:$B$962,C932,[49]mensuel_section_article1!$C$3:$C$962,D932)</f>
        <v>#VALUE!</v>
      </c>
      <c r="G932" s="60" t="e">
        <f>SUMIFS([49]mensuel_section_article1!$G$3:$G$962,[49]mensuel_section_article1!$B$3:$B$962,C932,[49]mensuel_section_article1!$C$3:$C$962,D932)</f>
        <v>#VALUE!</v>
      </c>
      <c r="H932" s="60">
        <v>211707749.92000002</v>
      </c>
      <c r="I932" s="60">
        <v>191385604.90000001</v>
      </c>
      <c r="J932" s="60">
        <v>191385502.5</v>
      </c>
      <c r="K932" s="60">
        <f t="shared" si="524"/>
        <v>20322247.420000017</v>
      </c>
      <c r="L932" s="61">
        <f t="shared" si="527"/>
        <v>0.90400801374687811</v>
      </c>
      <c r="M932" s="60"/>
      <c r="N932" s="24"/>
      <c r="O932" s="9"/>
      <c r="Q932" s="63"/>
      <c r="AK932" s="64"/>
      <c r="AL932" s="64"/>
      <c r="AM932" s="64"/>
      <c r="AN932" s="64"/>
      <c r="AO932" s="11">
        <v>4111111</v>
      </c>
      <c r="AP932" s="65" t="str">
        <f t="shared" si="525"/>
        <v>41111119</v>
      </c>
    </row>
    <row r="933" spans="1:42" s="1" customFormat="1" ht="27.75" customHeight="1" thickTop="1" x14ac:dyDescent="0.25">
      <c r="A933" s="37" t="s">
        <v>16</v>
      </c>
      <c r="B933" s="37" t="s">
        <v>16</v>
      </c>
      <c r="C933" s="37" t="s">
        <v>16</v>
      </c>
      <c r="D933" s="73">
        <v>4211</v>
      </c>
      <c r="E933" s="74" t="s">
        <v>152</v>
      </c>
      <c r="F933" s="75" t="e">
        <f>SUMIF($B$934:$B$942,"chap",F934:F942)</f>
        <v>#VALUE!</v>
      </c>
      <c r="G933" s="75" t="e">
        <f>SUMIF($B$934:$B$942,"chap",G934:G942)</f>
        <v>#VALUE!</v>
      </c>
      <c r="H933" s="75">
        <f>SUMIF($B$934:$B$942,"chap",H934:H942)</f>
        <v>496240737.69999993</v>
      </c>
      <c r="I933" s="75">
        <v>496240737.69999993</v>
      </c>
      <c r="J933" s="75">
        <f>SUMIF($B$934:$B$942,"chap",J934:J942)</f>
        <v>442139623.11000007</v>
      </c>
      <c r="K933" s="75">
        <f>SUMIF($B$934:$B$942,"chap",K934:K942)</f>
        <v>54101114.589999914</v>
      </c>
      <c r="L933" s="76">
        <f t="shared" si="527"/>
        <v>0.8909780868843008</v>
      </c>
      <c r="M933" s="75"/>
      <c r="N933" s="75"/>
      <c r="O933" s="9"/>
      <c r="Q933" s="23"/>
      <c r="AK933" s="77"/>
      <c r="AL933" s="77"/>
      <c r="AM933" s="77"/>
      <c r="AN933" s="77"/>
      <c r="AO933" s="11"/>
    </row>
    <row r="934" spans="1:42" s="49" customFormat="1" ht="27.75" customHeight="1" x14ac:dyDescent="0.25">
      <c r="A934" s="43" t="s">
        <v>19</v>
      </c>
      <c r="B934" s="43" t="s">
        <v>19</v>
      </c>
      <c r="C934" s="43" t="s">
        <v>19</v>
      </c>
      <c r="D934" s="44">
        <v>42111</v>
      </c>
      <c r="E934" s="45" t="str">
        <f>VLOOKUP(D934,[49]INST!$A$1:$B$626,2,FALSE)</f>
        <v>SERVICES INTERNES</v>
      </c>
      <c r="F934" s="46" t="e">
        <f>SUMIF($B$935:$B$942,"section",F935:F942)</f>
        <v>#VALUE!</v>
      </c>
      <c r="G934" s="46" t="e">
        <f>SUMIF($B$935:$B$942,"section",G935:G942)</f>
        <v>#VALUE!</v>
      </c>
      <c r="H934" s="46">
        <f>SUMIF($B$935:$B$942,"section",H935:H942)</f>
        <v>496240737.69999993</v>
      </c>
      <c r="I934" s="46">
        <v>496240737.69999993</v>
      </c>
      <c r="J934" s="46">
        <f>SUMIF($B$935:$B$942,"section",J935:J942)</f>
        <v>442139623.11000007</v>
      </c>
      <c r="K934" s="46">
        <f>SUMIF($B$935:$B$942,"section",K935:K942)</f>
        <v>54101114.589999914</v>
      </c>
      <c r="L934" s="47">
        <f t="shared" si="527"/>
        <v>0.8909780868843008</v>
      </c>
      <c r="M934" s="46"/>
      <c r="N934" s="46"/>
      <c r="O934" s="48"/>
      <c r="AO934" s="11"/>
    </row>
    <row r="935" spans="1:42" s="1" customFormat="1" ht="27.75" customHeight="1" thickBot="1" x14ac:dyDescent="0.3">
      <c r="A935" s="50" t="s">
        <v>20</v>
      </c>
      <c r="B935" s="50" t="s">
        <v>20</v>
      </c>
      <c r="C935" s="50" t="s">
        <v>20</v>
      </c>
      <c r="D935" s="51">
        <v>4211111</v>
      </c>
      <c r="E935" s="67" t="s">
        <v>152</v>
      </c>
      <c r="F935" s="68" t="e">
        <f>SUMIF($B$936:$B$942,"article",F936:F942)</f>
        <v>#VALUE!</v>
      </c>
      <c r="G935" s="68" t="e">
        <f>SUMIF($B$936:$B$942,"article",G936:G942)</f>
        <v>#VALUE!</v>
      </c>
      <c r="H935" s="68">
        <f>SUMIF($B$936:$B$942,"article",H936:H942)</f>
        <v>496240737.69999993</v>
      </c>
      <c r="I935" s="68">
        <v>496240737.69999993</v>
      </c>
      <c r="J935" s="68">
        <f>SUMIF($B$936:$B$942,"article",J936:J942)</f>
        <v>442139623.11000007</v>
      </c>
      <c r="K935" s="68">
        <f>SUMIF($B$936:$B$942,"article",K936:K942)</f>
        <v>54101114.589999914</v>
      </c>
      <c r="L935" s="69">
        <f t="shared" si="527"/>
        <v>0.8909780868843008</v>
      </c>
      <c r="M935" s="68"/>
      <c r="N935" s="68"/>
      <c r="O935" s="9"/>
      <c r="Q935" s="23"/>
      <c r="AK935" s="70"/>
      <c r="AL935" s="70"/>
      <c r="AM935" s="70"/>
      <c r="AN935" s="70"/>
      <c r="AO935" s="11">
        <v>4211111</v>
      </c>
    </row>
    <row r="936" spans="1:42" s="62" customFormat="1" ht="27.75" customHeight="1" thickTop="1" thickBot="1" x14ac:dyDescent="0.3">
      <c r="A936" s="56" t="s">
        <v>22</v>
      </c>
      <c r="B936" s="56" t="s">
        <v>22</v>
      </c>
      <c r="C936" s="57">
        <f t="shared" ref="C936:C942" si="528">IF(A935="SECTION",D935,C935)</f>
        <v>4211111</v>
      </c>
      <c r="D936" s="58">
        <v>1</v>
      </c>
      <c r="E936" s="59" t="str">
        <f t="shared" ref="E936:E942" si="529">IF(D936=1, "DEPENSES DE PERSONNEL",  +IF(D936=2,"DEPENSES DE SERVICES ET CHARGES DIVERSES", +IF(D936=3,"ACHATS DE BIENS DE CONSOMMATION ET PETITS MATERIELS",+IF(D936=4,"IMMOBILISATION CORPORELLE",+IF(D936=5,"IMMOBILISATION INCORPORELLE",+IF(D936=7,"SUBVENTIONS,QUOTES-PARTS ET CONTRIB.,ALLOC, INDEMNISATIONS",+IF(D936=8,"AMORTISSEMENT DE LA DETTE",+IF(D936=9,"AUTRES DEPENSES PUBLIQUES",0))))))))</f>
        <v>DEPENSES DE PERSONNEL</v>
      </c>
      <c r="F936" s="60" t="e">
        <f>SUMIFS([49]mensuel_section_article1!$E$3:$E$962,[49]mensuel_section_article1!$B$3:$B$962,C936,[49]mensuel_section_article1!$C$3:$C$962,D936)</f>
        <v>#VALUE!</v>
      </c>
      <c r="G936" s="60" t="e">
        <f>SUMIFS([49]mensuel_section_article1!$G$3:$G$962,[49]mensuel_section_article1!$B$3:$B$962,C936,[49]mensuel_section_article1!$C$3:$C$962,D936)</f>
        <v>#VALUE!</v>
      </c>
      <c r="H936" s="60">
        <v>386728594.99999994</v>
      </c>
      <c r="I936" s="60">
        <v>386728594.99999994</v>
      </c>
      <c r="J936" s="60">
        <v>383060620.85000002</v>
      </c>
      <c r="K936" s="60">
        <f t="shared" ref="K936:K942" si="530">+H936-J936</f>
        <v>3667974.1499999166</v>
      </c>
      <c r="L936" s="61">
        <f t="shared" si="527"/>
        <v>0.99051537900888886</v>
      </c>
      <c r="M936" s="60"/>
      <c r="N936" s="24"/>
      <c r="O936" s="9"/>
      <c r="Q936" s="63"/>
      <c r="AK936" s="64"/>
      <c r="AL936" s="64"/>
      <c r="AM936" s="64"/>
      <c r="AN936" s="64"/>
      <c r="AO936" s="11">
        <v>4211111</v>
      </c>
      <c r="AP936" s="65" t="str">
        <f t="shared" ref="AP936:AP942" si="531">CONCATENATE(AO936,D936)</f>
        <v>42111111</v>
      </c>
    </row>
    <row r="937" spans="1:42" s="62" customFormat="1" ht="27.75" customHeight="1" thickTop="1" thickBot="1" x14ac:dyDescent="0.3">
      <c r="A937" s="56" t="s">
        <v>22</v>
      </c>
      <c r="B937" s="56" t="s">
        <v>22</v>
      </c>
      <c r="C937" s="57">
        <f t="shared" si="528"/>
        <v>4211111</v>
      </c>
      <c r="D937" s="58">
        <v>2</v>
      </c>
      <c r="E937" s="59" t="str">
        <f t="shared" si="529"/>
        <v>DEPENSES DE SERVICES ET CHARGES DIVERSES</v>
      </c>
      <c r="F937" s="60" t="e">
        <f>SUMIFS([49]mensuel_section_article1!$E$3:$E$962,[49]mensuel_section_article1!$B$3:$B$962,C937,[49]mensuel_section_article1!$C$3:$C$962,D937)</f>
        <v>#VALUE!</v>
      </c>
      <c r="G937" s="60" t="e">
        <f>SUMIFS([49]mensuel_section_article1!$G$3:$G$962,[49]mensuel_section_article1!$B$3:$B$962,C937,[49]mensuel_section_article1!$C$3:$C$962,D937)</f>
        <v>#VALUE!</v>
      </c>
      <c r="H937" s="60">
        <v>15377952.999999996</v>
      </c>
      <c r="I937" s="60">
        <v>27388896.559999999</v>
      </c>
      <c r="J937" s="60">
        <v>16465839.129999999</v>
      </c>
      <c r="K937" s="60">
        <f t="shared" si="530"/>
        <v>-1087886.1300000027</v>
      </c>
      <c r="L937" s="61">
        <f t="shared" si="527"/>
        <v>1.0707432341612699</v>
      </c>
      <c r="M937" s="60"/>
      <c r="N937" s="24"/>
      <c r="O937" s="8"/>
      <c r="Q937" s="63"/>
      <c r="AK937" s="64"/>
      <c r="AL937" s="64"/>
      <c r="AM937" s="64"/>
      <c r="AN937" s="64"/>
      <c r="AO937" s="11">
        <v>4211111</v>
      </c>
      <c r="AP937" s="65" t="str">
        <f t="shared" si="531"/>
        <v>42111112</v>
      </c>
    </row>
    <row r="938" spans="1:42" s="62" customFormat="1" ht="27.75" customHeight="1" thickTop="1" thickBot="1" x14ac:dyDescent="0.3">
      <c r="A938" s="56" t="s">
        <v>22</v>
      </c>
      <c r="B938" s="56" t="s">
        <v>22</v>
      </c>
      <c r="C938" s="57">
        <f t="shared" si="528"/>
        <v>4211111</v>
      </c>
      <c r="D938" s="58">
        <v>3</v>
      </c>
      <c r="E938" s="59" t="str">
        <f t="shared" si="529"/>
        <v>ACHATS DE BIENS DE CONSOMMATION ET PETITS MATERIELS</v>
      </c>
      <c r="F938" s="60" t="e">
        <f>SUMIFS([49]mensuel_section_article1!$E$3:$E$962,[49]mensuel_section_article1!$B$3:$B$962,C938,[49]mensuel_section_article1!$C$3:$C$962,D938)</f>
        <v>#VALUE!</v>
      </c>
      <c r="G938" s="60" t="e">
        <f>SUMIFS([49]mensuel_section_article1!$G$3:$G$962,[49]mensuel_section_article1!$B$3:$B$962,C938,[49]mensuel_section_article1!$C$3:$C$962,D938)</f>
        <v>#VALUE!</v>
      </c>
      <c r="H938" s="60">
        <v>13834200</v>
      </c>
      <c r="I938" s="60">
        <v>35031196.939999998</v>
      </c>
      <c r="J938" s="60">
        <v>21080085.620000001</v>
      </c>
      <c r="K938" s="60">
        <f t="shared" si="530"/>
        <v>-7245885.620000001</v>
      </c>
      <c r="L938" s="61">
        <f t="shared" si="527"/>
        <v>1.5237661462173455</v>
      </c>
      <c r="M938" s="60"/>
      <c r="N938" s="24"/>
      <c r="O938" s="9"/>
      <c r="Q938" s="63"/>
      <c r="AK938" s="64"/>
      <c r="AL938" s="64"/>
      <c r="AM938" s="64"/>
      <c r="AN938" s="64"/>
      <c r="AO938" s="11">
        <v>4211111</v>
      </c>
      <c r="AP938" s="65" t="str">
        <f t="shared" si="531"/>
        <v>42111113</v>
      </c>
    </row>
    <row r="939" spans="1:42" s="62" customFormat="1" ht="27.75" customHeight="1" thickTop="1" thickBot="1" x14ac:dyDescent="0.3">
      <c r="A939" s="56" t="s">
        <v>22</v>
      </c>
      <c r="B939" s="56" t="s">
        <v>22</v>
      </c>
      <c r="C939" s="57">
        <f t="shared" si="528"/>
        <v>4211111</v>
      </c>
      <c r="D939" s="58">
        <v>4</v>
      </c>
      <c r="E939" s="59" t="str">
        <f t="shared" si="529"/>
        <v>IMMOBILISATION CORPORELLE</v>
      </c>
      <c r="F939" s="60" t="e">
        <f>SUMIFS([49]mensuel_section_article1!$E$3:$E$962,[49]mensuel_section_article1!$B$3:$B$962,C939,[49]mensuel_section_article1!$C$3:$C$962,D939)</f>
        <v>#VALUE!</v>
      </c>
      <c r="G939" s="60" t="e">
        <f>SUMIFS([49]mensuel_section_article1!$G$3:$G$962,[49]mensuel_section_article1!$B$3:$B$962,C939,[49]mensuel_section_article1!$C$3:$C$962,D939)</f>
        <v>#VALUE!</v>
      </c>
      <c r="H939" s="60">
        <v>9500001.7000000011</v>
      </c>
      <c r="I939" s="60">
        <v>9850001.6999999993</v>
      </c>
      <c r="J939" s="60">
        <v>4574618.66</v>
      </c>
      <c r="K939" s="60">
        <f t="shared" si="530"/>
        <v>4925383.040000001</v>
      </c>
      <c r="L939" s="61">
        <f t="shared" si="527"/>
        <v>0.48153872014570265</v>
      </c>
      <c r="M939" s="60"/>
      <c r="N939" s="24"/>
      <c r="O939" s="9"/>
      <c r="Q939" s="63"/>
      <c r="AK939" s="64"/>
      <c r="AL939" s="64"/>
      <c r="AM939" s="64"/>
      <c r="AN939" s="64"/>
      <c r="AO939" s="11">
        <v>4211111</v>
      </c>
      <c r="AP939" s="65" t="str">
        <f t="shared" si="531"/>
        <v>42111114</v>
      </c>
    </row>
    <row r="940" spans="1:42" s="62" customFormat="1" ht="27.75" hidden="1" customHeight="1" thickTop="1" thickBot="1" x14ac:dyDescent="0.3">
      <c r="A940" s="56" t="s">
        <v>22</v>
      </c>
      <c r="B940" s="56" t="s">
        <v>22</v>
      </c>
      <c r="C940" s="57">
        <f t="shared" si="528"/>
        <v>4211111</v>
      </c>
      <c r="D940" s="58">
        <v>5</v>
      </c>
      <c r="E940" s="59" t="str">
        <f t="shared" si="529"/>
        <v>IMMOBILISATION INCORPORELLE</v>
      </c>
      <c r="F940" s="60" t="e">
        <f>SUMIFS([49]mensuel_section_article1!$E$3:$E$962,[49]mensuel_section_article1!$B$3:$B$962,C940,[49]mensuel_section_article1!$C$3:$C$962,D940)</f>
        <v>#VALUE!</v>
      </c>
      <c r="G940" s="60" t="e">
        <f>SUMIFS([49]mensuel_section_article1!$G$3:$G$962,[49]mensuel_section_article1!$B$3:$B$962,C940,[49]mensuel_section_article1!$C$3:$C$962,D940)</f>
        <v>#VALUE!</v>
      </c>
      <c r="H940" s="60">
        <v>0</v>
      </c>
      <c r="I940" s="60">
        <v>0</v>
      </c>
      <c r="J940" s="60">
        <v>0</v>
      </c>
      <c r="K940" s="60">
        <f t="shared" si="530"/>
        <v>0</v>
      </c>
      <c r="L940" s="61" t="e">
        <f>IF(F940&lt;&gt;0,K940/F940,0)</f>
        <v>#VALUE!</v>
      </c>
      <c r="M940" s="60" t="e">
        <f>+SUMIFS([51]section_article!$H$10:$H$936,[51]section_article!$C$10:$C$936,C940,[51]section_article!$D$10:$D$936,D940)</f>
        <v>#VALUE!</v>
      </c>
      <c r="N940" s="24" t="e">
        <f t="shared" ref="N936:N942" si="532">+J940-M940</f>
        <v>#VALUE!</v>
      </c>
      <c r="O940" s="9"/>
      <c r="Q940" s="63"/>
      <c r="AK940" s="64"/>
      <c r="AL940" s="64"/>
      <c r="AM940" s="64"/>
      <c r="AN940" s="64"/>
      <c r="AO940" s="11">
        <v>4211111</v>
      </c>
      <c r="AP940" s="65" t="str">
        <f t="shared" si="531"/>
        <v>42111115</v>
      </c>
    </row>
    <row r="941" spans="1:42" s="62" customFormat="1" ht="27.75" hidden="1" customHeight="1" thickTop="1" thickBot="1" x14ac:dyDescent="0.3">
      <c r="A941" s="56" t="s">
        <v>22</v>
      </c>
      <c r="B941" s="56" t="s">
        <v>22</v>
      </c>
      <c r="C941" s="57">
        <f t="shared" si="528"/>
        <v>4211111</v>
      </c>
      <c r="D941" s="58">
        <v>7</v>
      </c>
      <c r="E941" s="59" t="str">
        <f t="shared" si="529"/>
        <v>SUBVENTIONS,QUOTES-PARTS ET CONTRIB.,ALLOC, INDEMNISATIONS</v>
      </c>
      <c r="F941" s="60" t="e">
        <f>SUMIFS([49]mensuel_section_article1!$E$3:$E$962,[49]mensuel_section_article1!$B$3:$B$962,C941,[49]mensuel_section_article1!$C$3:$C$962,D941)</f>
        <v>#VALUE!</v>
      </c>
      <c r="G941" s="60" t="e">
        <f>SUMIFS([49]mensuel_section_article1!$G$3:$G$962,[49]mensuel_section_article1!$B$3:$B$962,C941,[49]mensuel_section_article1!$C$3:$C$962,D941)</f>
        <v>#VALUE!</v>
      </c>
      <c r="H941" s="60">
        <v>0</v>
      </c>
      <c r="I941" s="60">
        <v>0</v>
      </c>
      <c r="J941" s="60">
        <v>0</v>
      </c>
      <c r="K941" s="60">
        <f t="shared" si="530"/>
        <v>0</v>
      </c>
      <c r="L941" s="61" t="e">
        <f>IF(F941&lt;&gt;0,K941/F941,0)</f>
        <v>#VALUE!</v>
      </c>
      <c r="M941" s="60" t="e">
        <f>+SUMIFS([51]section_article!$H$10:$H$936,[51]section_article!$C$10:$C$936,C941,[51]section_article!$D$10:$D$936,D941)</f>
        <v>#VALUE!</v>
      </c>
      <c r="N941" s="24" t="e">
        <f t="shared" si="532"/>
        <v>#VALUE!</v>
      </c>
      <c r="O941" s="9"/>
      <c r="Q941" s="63"/>
      <c r="AK941" s="64"/>
      <c r="AL941" s="64"/>
      <c r="AM941" s="64"/>
      <c r="AN941" s="64"/>
      <c r="AO941" s="11">
        <v>4211111</v>
      </c>
      <c r="AP941" s="65" t="str">
        <f t="shared" si="531"/>
        <v>42111117</v>
      </c>
    </row>
    <row r="942" spans="1:42" s="62" customFormat="1" ht="27.75" customHeight="1" thickTop="1" thickBot="1" x14ac:dyDescent="0.3">
      <c r="A942" s="56" t="s">
        <v>22</v>
      </c>
      <c r="B942" s="56" t="s">
        <v>22</v>
      </c>
      <c r="C942" s="57">
        <f t="shared" si="528"/>
        <v>4211111</v>
      </c>
      <c r="D942" s="58">
        <v>9</v>
      </c>
      <c r="E942" s="59" t="str">
        <f t="shared" si="529"/>
        <v>AUTRES DEPENSES PUBLIQUES</v>
      </c>
      <c r="F942" s="60" t="e">
        <f>SUMIFS([49]mensuel_section_article1!$E$3:$E$962,[49]mensuel_section_article1!$B$3:$B$962,C942,[49]mensuel_section_article1!$C$3:$C$962,D942)</f>
        <v>#VALUE!</v>
      </c>
      <c r="G942" s="60" t="e">
        <f>SUMIFS([49]mensuel_section_article1!$G$3:$G$962,[49]mensuel_section_article1!$B$3:$B$962,C942,[49]mensuel_section_article1!$C$3:$C$962,D942)</f>
        <v>#VALUE!</v>
      </c>
      <c r="H942" s="60">
        <v>70799988</v>
      </c>
      <c r="I942" s="60">
        <v>37242047.5</v>
      </c>
      <c r="J942" s="60">
        <v>16958458.850000001</v>
      </c>
      <c r="K942" s="60">
        <f t="shared" si="530"/>
        <v>53841529.149999999</v>
      </c>
      <c r="L942" s="61">
        <f t="shared" ref="L942:L949" si="533">+J942/H942</f>
        <v>0.23952629554118005</v>
      </c>
      <c r="M942" s="60"/>
      <c r="N942" s="24"/>
      <c r="O942" s="9"/>
      <c r="Q942" s="63"/>
      <c r="AK942" s="64"/>
      <c r="AL942" s="64"/>
      <c r="AM942" s="64"/>
      <c r="AN942" s="64"/>
      <c r="AO942" s="11">
        <v>4211111</v>
      </c>
      <c r="AP942" s="65" t="str">
        <f t="shared" si="531"/>
        <v>42111119</v>
      </c>
    </row>
    <row r="943" spans="1:42" s="1" customFormat="1" ht="27.75" customHeight="1" thickTop="1" x14ac:dyDescent="0.25">
      <c r="A943" s="37" t="s">
        <v>16</v>
      </c>
      <c r="B943" s="37" t="s">
        <v>16</v>
      </c>
      <c r="C943" s="37" t="s">
        <v>16</v>
      </c>
      <c r="D943" s="73">
        <v>4212</v>
      </c>
      <c r="E943" s="74" t="s">
        <v>153</v>
      </c>
      <c r="F943" s="75" t="e">
        <f>SUMIF($B$944:$B$952,"section",F944:F952)</f>
        <v>#VALUE!</v>
      </c>
      <c r="G943" s="75" t="e">
        <f>SUMIF($B$944:$B$952,"section",G944:G952)</f>
        <v>#VALUE!</v>
      </c>
      <c r="H943" s="75">
        <f>SUMIF($B$944:$B$952,"section",H944:H952)</f>
        <v>70400000</v>
      </c>
      <c r="I943" s="75">
        <v>70400000</v>
      </c>
      <c r="J943" s="75">
        <f>SUMIF($B$944:$B$952,"section",J944:J952)</f>
        <v>70092560.280000001</v>
      </c>
      <c r="K943" s="75">
        <f>SUMIF($B$944:$B$952,"section",K944:K952)</f>
        <v>307439.72000000253</v>
      </c>
      <c r="L943" s="76">
        <f t="shared" si="533"/>
        <v>0.99563295852272726</v>
      </c>
      <c r="M943" s="75"/>
      <c r="N943" s="75"/>
      <c r="O943" s="9"/>
      <c r="Q943" s="23"/>
      <c r="AK943" s="77"/>
      <c r="AL943" s="77"/>
      <c r="AM943" s="77"/>
      <c r="AN943" s="77"/>
      <c r="AO943" s="11"/>
    </row>
    <row r="944" spans="1:42" s="49" customFormat="1" ht="27.75" customHeight="1" x14ac:dyDescent="0.25">
      <c r="A944" s="43" t="s">
        <v>19</v>
      </c>
      <c r="B944" s="43" t="s">
        <v>19</v>
      </c>
      <c r="C944" s="43" t="s">
        <v>19</v>
      </c>
      <c r="D944" s="44">
        <v>42121</v>
      </c>
      <c r="E944" s="45" t="str">
        <f>VLOOKUP(D944,[49]INST!$A$1:$B$626,2,FALSE)</f>
        <v>SERVICES INTERNES</v>
      </c>
      <c r="F944" s="46" t="e">
        <f>SUMIF($B$944:$B$952,"section",F944:F952)</f>
        <v>#VALUE!</v>
      </c>
      <c r="G944" s="46" t="e">
        <f>SUMIF($B$944:$B$952,"section",G944:G952)</f>
        <v>#VALUE!</v>
      </c>
      <c r="H944" s="46">
        <f>SUMIF($B$944:$B$952,"section",H944:H952)</f>
        <v>70400000</v>
      </c>
      <c r="I944" s="46">
        <v>70400000</v>
      </c>
      <c r="J944" s="46">
        <f>SUMIF($B$944:$B$952,"section",J944:J952)</f>
        <v>70092560.280000001</v>
      </c>
      <c r="K944" s="46">
        <f>SUMIF($B$944:$B$952,"section",K944:K952)</f>
        <v>307439.72000000253</v>
      </c>
      <c r="L944" s="47">
        <f t="shared" si="533"/>
        <v>0.99563295852272726</v>
      </c>
      <c r="M944" s="46"/>
      <c r="N944" s="46"/>
      <c r="O944" s="48"/>
      <c r="AO944" s="11"/>
    </row>
    <row r="945" spans="1:42" s="1" customFormat="1" ht="27.75" customHeight="1" thickBot="1" x14ac:dyDescent="0.3">
      <c r="A945" s="50" t="s">
        <v>20</v>
      </c>
      <c r="B945" s="50" t="s">
        <v>20</v>
      </c>
      <c r="C945" s="50" t="s">
        <v>20</v>
      </c>
      <c r="D945" s="51">
        <v>4212112</v>
      </c>
      <c r="E945" s="67" t="s">
        <v>153</v>
      </c>
      <c r="F945" s="68" t="e">
        <f>SUMIF($B$946:$B$952,"article",F946:F952)</f>
        <v>#VALUE!</v>
      </c>
      <c r="G945" s="68" t="e">
        <f>SUMIF($B$946:$B$952,"article",G946:G952)</f>
        <v>#VALUE!</v>
      </c>
      <c r="H945" s="68">
        <f>SUMIF($B$946:$B$952,"article",H946:H952)</f>
        <v>70400000</v>
      </c>
      <c r="I945" s="68">
        <v>70400000</v>
      </c>
      <c r="J945" s="68">
        <f>SUMIF($B$946:$B$952,"article",J946:J952)</f>
        <v>70092560.280000001</v>
      </c>
      <c r="K945" s="68">
        <f>SUMIF($B$946:$B$952,"article",K946:K952)</f>
        <v>307439.72000000253</v>
      </c>
      <c r="L945" s="69">
        <f t="shared" si="533"/>
        <v>0.99563295852272726</v>
      </c>
      <c r="M945" s="68"/>
      <c r="N945" s="68"/>
      <c r="O945" s="9"/>
      <c r="Q945" s="23"/>
      <c r="AK945" s="70"/>
      <c r="AL945" s="70"/>
      <c r="AM945" s="70"/>
      <c r="AN945" s="70"/>
      <c r="AO945" s="11">
        <v>4212112</v>
      </c>
    </row>
    <row r="946" spans="1:42" s="62" customFormat="1" ht="27.75" customHeight="1" thickTop="1" thickBot="1" x14ac:dyDescent="0.3">
      <c r="A946" s="56" t="s">
        <v>22</v>
      </c>
      <c r="B946" s="56" t="s">
        <v>22</v>
      </c>
      <c r="C946" s="57">
        <f t="shared" ref="C946:C952" si="534">IF(A945="SECTION",D945,C945)</f>
        <v>4212112</v>
      </c>
      <c r="D946" s="58">
        <v>1</v>
      </c>
      <c r="E946" s="59" t="str">
        <f t="shared" ref="E946:E952" si="535">IF(D946=1, "DEPENSES DE PERSONNEL",  +IF(D946=2,"DEPENSES DE SERVICES ET CHARGES DIVERSES", +IF(D946=3,"ACHATS DE BIENS DE CONSOMMATION ET PETITS MATERIELS",+IF(D946=4,"IMMOBILISATION CORPORELLE",+IF(D946=5,"IMMOBILISATION INCORPORELLE",+IF(D946=7,"SUBVENTIONS,QUOTES-PARTS ET CONTRIB.,ALLOC, INDEMNISATIONS",+IF(D946=8,"AMORTISSEMENT DE LA DETTE",+IF(D946=9,"AUTRES DEPENSES PUBLIQUES",0))))))))</f>
        <v>DEPENSES DE PERSONNEL</v>
      </c>
      <c r="F946" s="60" t="e">
        <f>SUMIFS([49]mensuel_section_article1!$E$3:$E$962,[49]mensuel_section_article1!$B$3:$B$962,C946,[49]mensuel_section_article1!$C$3:$C$962,D946)</f>
        <v>#VALUE!</v>
      </c>
      <c r="G946" s="60" t="e">
        <f>SUMIFS([49]mensuel_section_article1!$G$3:$G$962,[49]mensuel_section_article1!$B$3:$B$962,C946,[49]mensuel_section_article1!$C$3:$C$962,D946)</f>
        <v>#VALUE!</v>
      </c>
      <c r="H946" s="60">
        <v>39499333.960000001</v>
      </c>
      <c r="I946" s="60">
        <v>39499334</v>
      </c>
      <c r="J946" s="99">
        <v>39484442.219999999</v>
      </c>
      <c r="K946" s="60">
        <f t="shared" ref="K946:K952" si="536">+H946-J946</f>
        <v>14891.740000002086</v>
      </c>
      <c r="L946" s="61">
        <f t="shared" si="533"/>
        <v>0.99962298756695278</v>
      </c>
      <c r="M946" s="60"/>
      <c r="N946" s="24"/>
      <c r="O946" s="9"/>
      <c r="Q946" s="63"/>
      <c r="AK946" s="64"/>
      <c r="AL946" s="64"/>
      <c r="AM946" s="64"/>
      <c r="AN946" s="64"/>
      <c r="AO946" s="11">
        <v>4212112</v>
      </c>
      <c r="AP946" s="65" t="str">
        <f t="shared" ref="AP946:AP952" si="537">CONCATENATE(AO946,D946)</f>
        <v>42121121</v>
      </c>
    </row>
    <row r="947" spans="1:42" s="62" customFormat="1" ht="27.75" customHeight="1" thickTop="1" thickBot="1" x14ac:dyDescent="0.3">
      <c r="A947" s="56" t="s">
        <v>22</v>
      </c>
      <c r="B947" s="56" t="s">
        <v>22</v>
      </c>
      <c r="C947" s="57">
        <f t="shared" si="534"/>
        <v>4212112</v>
      </c>
      <c r="D947" s="58">
        <v>2</v>
      </c>
      <c r="E947" s="59" t="str">
        <f t="shared" si="535"/>
        <v>DEPENSES DE SERVICES ET CHARGES DIVERSES</v>
      </c>
      <c r="F947" s="60" t="e">
        <f>SUMIFS([49]mensuel_section_article1!$E$3:$E$962,[49]mensuel_section_article1!$B$3:$B$962,C947,[49]mensuel_section_article1!$C$3:$C$962,D947)</f>
        <v>#VALUE!</v>
      </c>
      <c r="G947" s="60" t="e">
        <f>SUMIFS([49]mensuel_section_article1!$G$3:$G$962,[49]mensuel_section_article1!$B$3:$B$962,C947,[49]mensuel_section_article1!$C$3:$C$962,D947)</f>
        <v>#VALUE!</v>
      </c>
      <c r="H947" s="60">
        <v>15705263.039999999</v>
      </c>
      <c r="I947" s="60">
        <v>15958542.039999999</v>
      </c>
      <c r="J947" s="99">
        <v>15670226.1</v>
      </c>
      <c r="K947" s="60">
        <f t="shared" si="536"/>
        <v>35036.939999999478</v>
      </c>
      <c r="L947" s="61">
        <f t="shared" si="533"/>
        <v>0.99776909562668492</v>
      </c>
      <c r="M947" s="60"/>
      <c r="N947" s="24"/>
      <c r="O947" s="9"/>
      <c r="Q947" s="63"/>
      <c r="AK947" s="64"/>
      <c r="AL947" s="64"/>
      <c r="AM947" s="64"/>
      <c r="AN947" s="64"/>
      <c r="AO947" s="11">
        <v>4212112</v>
      </c>
      <c r="AP947" s="65" t="str">
        <f t="shared" si="537"/>
        <v>42121122</v>
      </c>
    </row>
    <row r="948" spans="1:42" s="62" customFormat="1" ht="27.75" customHeight="1" thickTop="1" thickBot="1" x14ac:dyDescent="0.3">
      <c r="A948" s="56" t="s">
        <v>22</v>
      </c>
      <c r="B948" s="56" t="s">
        <v>22</v>
      </c>
      <c r="C948" s="57">
        <f t="shared" si="534"/>
        <v>4212112</v>
      </c>
      <c r="D948" s="58">
        <v>3</v>
      </c>
      <c r="E948" s="59" t="str">
        <f t="shared" si="535"/>
        <v>ACHATS DE BIENS DE CONSOMMATION ET PETITS MATERIELS</v>
      </c>
      <c r="F948" s="60" t="e">
        <f>SUMIFS([49]mensuel_section_article1!$E$3:$E$962,[49]mensuel_section_article1!$B$3:$B$962,C948,[49]mensuel_section_article1!$C$3:$C$962,D948)</f>
        <v>#VALUE!</v>
      </c>
      <c r="G948" s="60" t="e">
        <f>SUMIFS([49]mensuel_section_article1!$G$3:$G$962,[49]mensuel_section_article1!$B$3:$B$962,C948,[49]mensuel_section_article1!$C$3:$C$962,D948)</f>
        <v>#VALUE!</v>
      </c>
      <c r="H948" s="60">
        <v>3570000</v>
      </c>
      <c r="I948" s="60">
        <v>7767120.9600000009</v>
      </c>
      <c r="J948" s="99">
        <v>7765603.459999999</v>
      </c>
      <c r="K948" s="60">
        <f t="shared" si="536"/>
        <v>-4195603.459999999</v>
      </c>
      <c r="L948" s="61">
        <f t="shared" si="533"/>
        <v>2.17523906442577</v>
      </c>
      <c r="M948" s="60"/>
      <c r="N948" s="24"/>
      <c r="O948" s="9"/>
      <c r="Q948" s="63"/>
      <c r="AK948" s="64"/>
      <c r="AL948" s="64"/>
      <c r="AM948" s="64"/>
      <c r="AN948" s="64"/>
      <c r="AO948" s="11">
        <v>4212112</v>
      </c>
      <c r="AP948" s="65" t="str">
        <f t="shared" si="537"/>
        <v>42121123</v>
      </c>
    </row>
    <row r="949" spans="1:42" s="62" customFormat="1" ht="27.75" customHeight="1" thickTop="1" thickBot="1" x14ac:dyDescent="0.3">
      <c r="A949" s="56" t="s">
        <v>22</v>
      </c>
      <c r="B949" s="56" t="s">
        <v>22</v>
      </c>
      <c r="C949" s="57">
        <f t="shared" si="534"/>
        <v>4212112</v>
      </c>
      <c r="D949" s="58">
        <v>4</v>
      </c>
      <c r="E949" s="59" t="str">
        <f t="shared" si="535"/>
        <v>IMMOBILISATION CORPORELLE</v>
      </c>
      <c r="F949" s="60" t="e">
        <f>SUMIFS([49]mensuel_section_article1!$E$3:$E$962,[49]mensuel_section_article1!$B$3:$B$962,C949,[49]mensuel_section_article1!$C$3:$C$962,D949)</f>
        <v>#VALUE!</v>
      </c>
      <c r="G949" s="60" t="e">
        <f>SUMIFS([49]mensuel_section_article1!$G$3:$G$962,[49]mensuel_section_article1!$B$3:$B$962,C949,[49]mensuel_section_article1!$C$3:$C$962,D949)</f>
        <v>#VALUE!</v>
      </c>
      <c r="H949" s="60">
        <v>7175000</v>
      </c>
      <c r="I949" s="60">
        <v>7175000</v>
      </c>
      <c r="J949" s="99">
        <v>7172288.5</v>
      </c>
      <c r="K949" s="60">
        <f t="shared" si="536"/>
        <v>2711.5</v>
      </c>
      <c r="L949" s="61">
        <f t="shared" si="533"/>
        <v>0.99962209059233453</v>
      </c>
      <c r="M949" s="60"/>
      <c r="N949" s="24"/>
      <c r="O949" s="9"/>
      <c r="Q949" s="63"/>
      <c r="AK949" s="64"/>
      <c r="AL949" s="64"/>
      <c r="AM949" s="64"/>
      <c r="AN949" s="64"/>
      <c r="AO949" s="11">
        <v>4212112</v>
      </c>
      <c r="AP949" s="65" t="str">
        <f t="shared" si="537"/>
        <v>42121124</v>
      </c>
    </row>
    <row r="950" spans="1:42" s="62" customFormat="1" ht="27.75" hidden="1" customHeight="1" thickTop="1" thickBot="1" x14ac:dyDescent="0.3">
      <c r="A950" s="56" t="s">
        <v>22</v>
      </c>
      <c r="B950" s="56" t="s">
        <v>22</v>
      </c>
      <c r="C950" s="57">
        <f t="shared" si="534"/>
        <v>4212112</v>
      </c>
      <c r="D950" s="58">
        <v>5</v>
      </c>
      <c r="E950" s="59" t="str">
        <f t="shared" si="535"/>
        <v>IMMOBILISATION INCORPORELLE</v>
      </c>
      <c r="F950" s="60" t="e">
        <f>SUMIFS([49]mensuel_section_article1!$E$3:$E$962,[49]mensuel_section_article1!$B$3:$B$962,C950,[49]mensuel_section_article1!$C$3:$C$962,D950)</f>
        <v>#VALUE!</v>
      </c>
      <c r="G950" s="60" t="e">
        <f>SUMIFS([49]mensuel_section_article1!$G$3:$G$962,[49]mensuel_section_article1!$B$3:$B$962,C950,[49]mensuel_section_article1!$C$3:$C$962,D950)</f>
        <v>#VALUE!</v>
      </c>
      <c r="H950" s="60">
        <v>0</v>
      </c>
      <c r="I950" s="60">
        <v>0</v>
      </c>
      <c r="J950" s="99">
        <v>0</v>
      </c>
      <c r="K950" s="60">
        <f t="shared" si="536"/>
        <v>0</v>
      </c>
      <c r="L950" s="61" t="e">
        <f>IF(F950&lt;&gt;0,K950/F950,0)</f>
        <v>#VALUE!</v>
      </c>
      <c r="M950" s="60" t="e">
        <f>+SUMIFS([51]section_article!$H$10:$H$936,[51]section_article!$C$10:$C$936,C950,[51]section_article!$D$10:$D$936,D950)</f>
        <v>#VALUE!</v>
      </c>
      <c r="N950" s="24" t="e">
        <f t="shared" ref="N946:N952" si="538">+J950-M950</f>
        <v>#VALUE!</v>
      </c>
      <c r="O950" s="9"/>
      <c r="Q950" s="63"/>
      <c r="AK950" s="64"/>
      <c r="AL950" s="64"/>
      <c r="AM950" s="64"/>
      <c r="AN950" s="64"/>
      <c r="AO950" s="11">
        <v>4212112</v>
      </c>
      <c r="AP950" s="65" t="str">
        <f t="shared" si="537"/>
        <v>42121125</v>
      </c>
    </row>
    <row r="951" spans="1:42" s="62" customFormat="1" ht="27.75" hidden="1" customHeight="1" thickTop="1" thickBot="1" x14ac:dyDescent="0.3">
      <c r="A951" s="56" t="s">
        <v>22</v>
      </c>
      <c r="B951" s="56" t="s">
        <v>22</v>
      </c>
      <c r="C951" s="57">
        <f t="shared" si="534"/>
        <v>4212112</v>
      </c>
      <c r="D951" s="58">
        <v>7</v>
      </c>
      <c r="E951" s="59" t="str">
        <f t="shared" si="535"/>
        <v>SUBVENTIONS,QUOTES-PARTS ET CONTRIB.,ALLOC, INDEMNISATIONS</v>
      </c>
      <c r="F951" s="60" t="e">
        <f>SUMIFS([49]mensuel_section_article1!$E$3:$E$962,[49]mensuel_section_article1!$B$3:$B$962,C951,[49]mensuel_section_article1!$C$3:$C$962,D951)</f>
        <v>#VALUE!</v>
      </c>
      <c r="G951" s="60" t="e">
        <f>SUMIFS([49]mensuel_section_article1!$G$3:$G$962,[49]mensuel_section_article1!$B$3:$B$962,C951,[49]mensuel_section_article1!$C$3:$C$962,D951)</f>
        <v>#VALUE!</v>
      </c>
      <c r="H951" s="60">
        <v>0</v>
      </c>
      <c r="I951" s="60">
        <v>0</v>
      </c>
      <c r="J951" s="99">
        <v>0</v>
      </c>
      <c r="K951" s="60">
        <f t="shared" si="536"/>
        <v>0</v>
      </c>
      <c r="L951" s="61" t="e">
        <f>IF(F951&lt;&gt;0,K951/F951,0)</f>
        <v>#VALUE!</v>
      </c>
      <c r="M951" s="60" t="e">
        <f>+SUMIFS([51]section_article!$H$10:$H$936,[51]section_article!$C$10:$C$936,C951,[51]section_article!$D$10:$D$936,D951)</f>
        <v>#VALUE!</v>
      </c>
      <c r="N951" s="24" t="e">
        <f t="shared" si="538"/>
        <v>#VALUE!</v>
      </c>
      <c r="O951" s="9"/>
      <c r="Q951" s="63"/>
      <c r="AK951" s="64"/>
      <c r="AL951" s="64"/>
      <c r="AM951" s="64"/>
      <c r="AN951" s="64"/>
      <c r="AO951" s="11">
        <v>4212112</v>
      </c>
      <c r="AP951" s="65" t="str">
        <f t="shared" si="537"/>
        <v>42121127</v>
      </c>
    </row>
    <row r="952" spans="1:42" s="62" customFormat="1" ht="27.75" customHeight="1" thickTop="1" thickBot="1" x14ac:dyDescent="0.3">
      <c r="A952" s="56" t="s">
        <v>22</v>
      </c>
      <c r="B952" s="56" t="s">
        <v>22</v>
      </c>
      <c r="C952" s="57">
        <f t="shared" si="534"/>
        <v>4212112</v>
      </c>
      <c r="D952" s="58">
        <v>9</v>
      </c>
      <c r="E952" s="59" t="str">
        <f t="shared" si="535"/>
        <v>AUTRES DEPENSES PUBLIQUES</v>
      </c>
      <c r="F952" s="60" t="e">
        <f>SUMIFS([49]mensuel_section_article1!$E$3:$E$962,[49]mensuel_section_article1!$B$3:$B$962,C952,[49]mensuel_section_article1!$C$3:$C$962,D952)</f>
        <v>#VALUE!</v>
      </c>
      <c r="G952" s="60" t="e">
        <f>SUMIFS([49]mensuel_section_article1!$G$3:$G$962,[49]mensuel_section_article1!$B$3:$B$962,C952,[49]mensuel_section_article1!$C$3:$C$962,D952)</f>
        <v>#VALUE!</v>
      </c>
      <c r="H952" s="60">
        <v>4450403</v>
      </c>
      <c r="I952" s="60">
        <v>3</v>
      </c>
      <c r="J952" s="99">
        <v>0</v>
      </c>
      <c r="K952" s="60">
        <f t="shared" si="536"/>
        <v>4450403</v>
      </c>
      <c r="L952" s="61">
        <f t="shared" ref="L952:L957" si="539">+J952/H952</f>
        <v>0</v>
      </c>
      <c r="M952" s="60"/>
      <c r="N952" s="24"/>
      <c r="O952" s="9"/>
      <c r="Q952" s="63"/>
      <c r="AK952" s="64"/>
      <c r="AL952" s="64"/>
      <c r="AM952" s="64"/>
      <c r="AN952" s="64"/>
      <c r="AO952" s="11">
        <v>4212112</v>
      </c>
      <c r="AP952" s="65" t="str">
        <f t="shared" si="537"/>
        <v>42121129</v>
      </c>
    </row>
    <row r="953" spans="1:42" s="1" customFormat="1" ht="27.75" customHeight="1" thickTop="1" x14ac:dyDescent="0.25">
      <c r="A953" s="37" t="s">
        <v>16</v>
      </c>
      <c r="B953" s="37" t="s">
        <v>16</v>
      </c>
      <c r="C953" s="37" t="s">
        <v>16</v>
      </c>
      <c r="D953" s="73">
        <v>4311</v>
      </c>
      <c r="E953" s="74" t="s">
        <v>154</v>
      </c>
      <c r="F953" s="75" t="e">
        <f>SUMIF($B$954:$B$958,"chap",F954:F958)</f>
        <v>#VALUE!</v>
      </c>
      <c r="G953" s="75" t="e">
        <f>SUMIF($B$954:$B$958,"chap",G954:G958)</f>
        <v>#VALUE!</v>
      </c>
      <c r="H953" s="75">
        <f>SUMIF($B$954:$B$958,"chap",H954:H958)</f>
        <v>1302999999.7779999</v>
      </c>
      <c r="I953" s="75">
        <v>1302999999.8000002</v>
      </c>
      <c r="J953" s="75">
        <f>SUMIF($B$954:$B$958,"chap",J954:J958)</f>
        <v>1302998696.1100001</v>
      </c>
      <c r="K953" s="75">
        <f>SUMIF($B$954:$B$958,"chap",K954:K958)</f>
        <v>1303.6679998636246</v>
      </c>
      <c r="L953" s="76">
        <f t="shared" si="539"/>
        <v>0.99999899948733695</v>
      </c>
      <c r="M953" s="75"/>
      <c r="N953" s="75"/>
      <c r="O953" s="9"/>
      <c r="Q953" s="23"/>
      <c r="AK953" s="77"/>
      <c r="AL953" s="77"/>
      <c r="AM953" s="77"/>
      <c r="AN953" s="77"/>
      <c r="AO953" s="11"/>
    </row>
    <row r="954" spans="1:42" s="49" customFormat="1" ht="27.75" customHeight="1" x14ac:dyDescent="0.25">
      <c r="A954" s="43" t="s">
        <v>19</v>
      </c>
      <c r="B954" s="43" t="s">
        <v>19</v>
      </c>
      <c r="C954" s="43" t="s">
        <v>19</v>
      </c>
      <c r="D954" s="44">
        <v>43111</v>
      </c>
      <c r="E954" s="45" t="str">
        <f>VLOOKUP(D954,[49]INST!$A$1:$B$626,2,FALSE)</f>
        <v>SERVICES INTERNES</v>
      </c>
      <c r="F954" s="46" t="e">
        <f>SUMIF($B$954:$B$958,"section",F954:F958)</f>
        <v>#VALUE!</v>
      </c>
      <c r="G954" s="46" t="e">
        <f>SUMIF($B$954:$B$958,"section",G954:G958)</f>
        <v>#VALUE!</v>
      </c>
      <c r="H954" s="46">
        <f>SUMIF($B$954:$B$958,"section",H954:H958)</f>
        <v>1302999999.7779999</v>
      </c>
      <c r="I954" s="46">
        <v>1302999999.8000002</v>
      </c>
      <c r="J954" s="46">
        <f>SUMIF($B$954:$B$958,"section",J954:J958)</f>
        <v>1302998696.1100001</v>
      </c>
      <c r="K954" s="46">
        <f>SUMIF($B$954:$B$958,"section",K954:K958)</f>
        <v>1303.6679998636246</v>
      </c>
      <c r="L954" s="47">
        <f t="shared" si="539"/>
        <v>0.99999899948733695</v>
      </c>
      <c r="M954" s="46"/>
      <c r="N954" s="46"/>
      <c r="O954" s="48"/>
      <c r="AO954" s="11"/>
    </row>
    <row r="955" spans="1:42" s="1" customFormat="1" ht="27.75" customHeight="1" thickBot="1" x14ac:dyDescent="0.3">
      <c r="A955" s="50" t="s">
        <v>20</v>
      </c>
      <c r="B955" s="50" t="s">
        <v>20</v>
      </c>
      <c r="C955" s="50" t="s">
        <v>20</v>
      </c>
      <c r="D955" s="51">
        <v>4311111</v>
      </c>
      <c r="E955" s="67" t="s">
        <v>155</v>
      </c>
      <c r="F955" s="68" t="e">
        <f>SUMIF($B$956:$B$958,"article",F956:F958)</f>
        <v>#VALUE!</v>
      </c>
      <c r="G955" s="68" t="e">
        <f>SUMIF($B$956:$B$958,"article",G956:G958)</f>
        <v>#VALUE!</v>
      </c>
      <c r="H955" s="68">
        <f>SUMIF($B$956:$B$958,"article",H956:H958)</f>
        <v>1302999999.7779999</v>
      </c>
      <c r="I955" s="68">
        <v>1302999999.8000002</v>
      </c>
      <c r="J955" s="68">
        <f>SUMIF($B$956:$B$958,"article",J956:J958)</f>
        <v>1302998696.1100001</v>
      </c>
      <c r="K955" s="68">
        <f>SUMIF($B$956:$B$958,"article",K956:K958)</f>
        <v>1303.6679998636246</v>
      </c>
      <c r="L955" s="69">
        <f t="shared" si="539"/>
        <v>0.99999899948733695</v>
      </c>
      <c r="M955" s="68"/>
      <c r="N955" s="68"/>
      <c r="O955" s="9"/>
      <c r="Q955" s="23"/>
      <c r="AK955" s="70"/>
      <c r="AL955" s="70"/>
      <c r="AM955" s="70"/>
      <c r="AN955" s="70"/>
      <c r="AO955" s="11">
        <v>4311111</v>
      </c>
    </row>
    <row r="956" spans="1:42" s="62" customFormat="1" ht="27.75" customHeight="1" thickTop="1" thickBot="1" x14ac:dyDescent="0.3">
      <c r="A956" s="56" t="s">
        <v>22</v>
      </c>
      <c r="B956" s="56" t="s">
        <v>22</v>
      </c>
      <c r="C956" s="57">
        <f>IF(A955="SECTION",D955,C955)</f>
        <v>4311111</v>
      </c>
      <c r="D956" s="58">
        <v>1</v>
      </c>
      <c r="E956" s="59" t="str">
        <f>IF(D956=1, "DEPENSES DE PERSONNEL",  +IF(D956=2,"DEPENSES DE SERVICES ET CHARGES DIVERSES", +IF(D956=3,"ACHATS DE BIENS DE CONSOMMATION ET PETITS MATERIELS",+IF(D956=4,"IMMOBILISATION CORPORELLE",+IF(D956=5,"IMMOBILISATION INCORPORELLE",+IF(D956=7,"SUBVENTIONS,QUOTES-PARTS ET CONTRIB.,ALLOC, INDEMNISATIONS",+IF(D956=8,"AMORTISSEMENT DE LA DETTE",+IF(D956=9,"AUTRES DEPENSES PUBLIQUES",0))))))))</f>
        <v>DEPENSES DE PERSONNEL</v>
      </c>
      <c r="F956" s="60" t="e">
        <f>SUMIFS([49]mensuel_section_article1!$E$3:$E$962,[49]mensuel_section_article1!$B$3:$B$962,C956,[49]mensuel_section_article1!$C$3:$C$962,D956)</f>
        <v>#VALUE!</v>
      </c>
      <c r="G956" s="60" t="e">
        <f>SUMIFS([49]mensuel_section_article1!$G$3:$G$962,[49]mensuel_section_article1!$B$3:$B$962,C956,[49]mensuel_section_article1!$C$3:$C$962,D956)</f>
        <v>#VALUE!</v>
      </c>
      <c r="H956" s="60">
        <v>1062817342.7579999</v>
      </c>
      <c r="I956" s="60">
        <v>1062817342.8000001</v>
      </c>
      <c r="J956" s="60">
        <v>1062817131.6</v>
      </c>
      <c r="K956" s="60">
        <f t="shared" ref="K956:K958" si="540">+H956-J956</f>
        <v>211.15799987316132</v>
      </c>
      <c r="L956" s="61">
        <f t="shared" si="539"/>
        <v>0.99999980132239907</v>
      </c>
      <c r="M956" s="60"/>
      <c r="N956" s="24"/>
      <c r="O956" s="9"/>
      <c r="Q956" s="66"/>
      <c r="AK956" s="64"/>
      <c r="AL956" s="64"/>
      <c r="AM956" s="64"/>
      <c r="AN956" s="64"/>
      <c r="AO956" s="11">
        <v>4311111</v>
      </c>
      <c r="AP956" s="65" t="str">
        <f>CONCATENATE(AO956,D956)</f>
        <v>43111111</v>
      </c>
    </row>
    <row r="957" spans="1:42" s="62" customFormat="1" ht="27.75" customHeight="1" thickTop="1" thickBot="1" x14ac:dyDescent="0.3">
      <c r="A957" s="56" t="s">
        <v>22</v>
      </c>
      <c r="B957" s="56" t="s">
        <v>22</v>
      </c>
      <c r="C957" s="57">
        <f>IF(A955="SECTION",D955,C955)</f>
        <v>4311111</v>
      </c>
      <c r="D957" s="58">
        <v>2</v>
      </c>
      <c r="E957" s="59" t="str">
        <f>IF(D957=1, "DEPENSES DE PERSONNEL",  +IF(D957=2,"DEPENSES DE SERVICES ET CHARGES DIVERSES", +IF(D957=3,"ACHATS DE BIENS DE CONSOMMATION ET PETITS MATERIELS",+IF(D957=4,"IMMOBILISATION CORPORELLE",+IF(D957=5,"IMMOBILISATION INCORPORELLE",+IF(D957=7,"SUBVENTIONS,QUOTES-PARTS ET CONTRIB.,ALLOC, INDEMNISATIONS",+IF(D957=8,"AMORTISSEMENT DE LA DETTE",+IF(D957=9,"AUTRES DEPENSES PUBLIQUES",0))))))))</f>
        <v>DEPENSES DE SERVICES ET CHARGES DIVERSES</v>
      </c>
      <c r="F957" s="60" t="e">
        <f>SUMIFS([49]mensuel_section_article1!$E$3:$E$962,[49]mensuel_section_article1!$B$3:$B$962,C957,[49]mensuel_section_article1!$C$3:$C$962,D957)</f>
        <v>#VALUE!</v>
      </c>
      <c r="G957" s="60" t="e">
        <f>SUMIFS([49]mensuel_section_article1!$G$3:$G$962,[49]mensuel_section_article1!$B$3:$B$962,C957,[49]mensuel_section_article1!$C$3:$C$962,D957)</f>
        <v>#VALUE!</v>
      </c>
      <c r="H957" s="60">
        <v>240182657.02000001</v>
      </c>
      <c r="I957" s="60">
        <v>240182657</v>
      </c>
      <c r="J957" s="60">
        <v>240181564.51000002</v>
      </c>
      <c r="K957" s="60">
        <f t="shared" si="540"/>
        <v>1092.5099999904633</v>
      </c>
      <c r="L957" s="61">
        <f t="shared" si="539"/>
        <v>0.9999954513368553</v>
      </c>
      <c r="M957" s="60"/>
      <c r="N957" s="24"/>
      <c r="O957" s="9"/>
      <c r="Q957" s="66"/>
      <c r="AK957" s="64"/>
      <c r="AL957" s="64"/>
      <c r="AM957" s="64"/>
      <c r="AN957" s="64"/>
      <c r="AO957" s="11">
        <v>4311111</v>
      </c>
      <c r="AP957" s="65" t="str">
        <f>CONCATENATE(AO957,D957)</f>
        <v>43111112</v>
      </c>
    </row>
    <row r="958" spans="1:42" s="62" customFormat="1" ht="27.75" hidden="1" customHeight="1" thickTop="1" thickBot="1" x14ac:dyDescent="0.3">
      <c r="A958" s="56" t="s">
        <v>22</v>
      </c>
      <c r="B958" s="56" t="s">
        <v>22</v>
      </c>
      <c r="C958" s="57">
        <f>IF(A956="SECTION",D956,C956)</f>
        <v>4311111</v>
      </c>
      <c r="D958" s="58">
        <v>7</v>
      </c>
      <c r="E958" s="59" t="str">
        <f>IF(D958=1, "DEPENSES DE PERSONNEL",  +IF(D958=2,"DEPENSES DE SERVICES ET CHARGES DIVERSES", +IF(D958=3,"ACHATS DE BIENS DE CONSOMMATION ET PETITS MATERIELS",+IF(D958=4,"IMMOBILISATION CORPORELLE",+IF(D958=5,"IMMOBILISATION INCORPORELLE",+IF(D958=7,"SUBVENTIONS,QUOTES-PARTS ET CONTRIB.,ALLOC, INDEMNISATIONS",+IF(D958=8,"AMORTISSEMENT DE LA DETTE",+IF(D958=9,"AUTRES DEPENSES PUBLIQUES",0))))))))</f>
        <v>SUBVENTIONS,QUOTES-PARTS ET CONTRIB.,ALLOC, INDEMNISATIONS</v>
      </c>
      <c r="F958" s="60" t="e">
        <f>SUMIFS([49]mensuel_section_article1!$E$3:$E$962,[49]mensuel_section_article1!$B$3:$B$962,C958,[49]mensuel_section_article1!$C$3:$C$962,D958)</f>
        <v>#VALUE!</v>
      </c>
      <c r="G958" s="60" t="e">
        <f>SUMIFS([49]mensuel_section_article1!$G$3:$G$962,[49]mensuel_section_article1!$B$3:$B$962,C958,[49]mensuel_section_article1!$C$3:$C$962,D958)</f>
        <v>#VALUE!</v>
      </c>
      <c r="H958" s="60">
        <v>0</v>
      </c>
      <c r="I958" s="60">
        <v>0</v>
      </c>
      <c r="J958" s="60">
        <v>0</v>
      </c>
      <c r="K958" s="60">
        <f t="shared" si="540"/>
        <v>0</v>
      </c>
      <c r="L958" s="61" t="e">
        <f>IF(F958&lt;&gt;0,K958/F958,0)</f>
        <v>#VALUE!</v>
      </c>
      <c r="M958" s="60" t="e">
        <f>+SUMIFS([51]section_article!$H$10:$H$936,[51]section_article!$C$10:$C$936,C958,[51]section_article!$D$10:$D$936,D958)</f>
        <v>#VALUE!</v>
      </c>
      <c r="N958" s="24" t="e">
        <f>+J958-M958</f>
        <v>#VALUE!</v>
      </c>
      <c r="O958" s="9"/>
      <c r="Q958" s="66"/>
      <c r="AK958" s="64"/>
      <c r="AL958" s="64"/>
      <c r="AM958" s="64"/>
      <c r="AN958" s="64"/>
      <c r="AO958" s="11">
        <v>4311111</v>
      </c>
      <c r="AP958" s="65" t="str">
        <f>CONCATENATE(AO958,D958)</f>
        <v>43111117</v>
      </c>
    </row>
    <row r="959" spans="1:42" s="1" customFormat="1" ht="27.75" customHeight="1" thickTop="1" x14ac:dyDescent="0.25">
      <c r="A959" s="37" t="s">
        <v>16</v>
      </c>
      <c r="B959" s="37" t="s">
        <v>16</v>
      </c>
      <c r="C959" s="37" t="s">
        <v>16</v>
      </c>
      <c r="D959" s="73">
        <v>4411</v>
      </c>
      <c r="E959" s="74" t="str">
        <f>+[49]mensuel_section_article1!D957</f>
        <v xml:space="preserve">ACADEMIE DU CREOLE HAITIEN </v>
      </c>
      <c r="F959" s="75" t="e">
        <f>SUMIF($B$954:$B$958,"chap",F960:F964)</f>
        <v>#VALUE!</v>
      </c>
      <c r="G959" s="75" t="e">
        <f>SUMIF($B$954:$B$958,"chap",G960:G964)</f>
        <v>#VALUE!</v>
      </c>
      <c r="H959" s="75">
        <f>SUMIF($B$954:$B$958,"chap",H960:H964)</f>
        <v>35031200</v>
      </c>
      <c r="I959" s="75">
        <v>35031200</v>
      </c>
      <c r="J959" s="75">
        <f>SUMIF($B$954:$B$958,"chap",J960:J964)</f>
        <v>31469583.690000005</v>
      </c>
      <c r="K959" s="75">
        <f>SUMIF($B$954:$B$958,"chap",K960:K964)</f>
        <v>3561616.3099999968</v>
      </c>
      <c r="L959" s="76">
        <f>+J959/H959</f>
        <v>0.8983301653954191</v>
      </c>
      <c r="M959" s="75"/>
      <c r="N959" s="75"/>
      <c r="O959" s="9"/>
      <c r="P959" s="8"/>
      <c r="Q959" s="23"/>
      <c r="AK959" s="77"/>
      <c r="AL959" s="77"/>
      <c r="AM959" s="77"/>
      <c r="AN959" s="77"/>
      <c r="AO959" s="11"/>
    </row>
    <row r="960" spans="1:42" s="49" customFormat="1" ht="27.75" customHeight="1" x14ac:dyDescent="0.25">
      <c r="A960" s="43" t="s">
        <v>19</v>
      </c>
      <c r="B960" s="43" t="s">
        <v>19</v>
      </c>
      <c r="C960" s="43" t="s">
        <v>19</v>
      </c>
      <c r="D960" s="44">
        <v>44111</v>
      </c>
      <c r="E960" s="45" t="str">
        <f>+[49]mensuel_section_article1!D958</f>
        <v>SERVICES INTERNES</v>
      </c>
      <c r="F960" s="46" t="e">
        <f>SUMIF($B$954:$B$958,"section",F960:F964)</f>
        <v>#VALUE!</v>
      </c>
      <c r="G960" s="46" t="e">
        <f>SUMIF($B$954:$B$958,"section",G960:G964)</f>
        <v>#VALUE!</v>
      </c>
      <c r="H960" s="46">
        <f>SUMIF($B$954:$B$958,"section",H960:H964)</f>
        <v>35031200</v>
      </c>
      <c r="I960" s="46">
        <v>35031200</v>
      </c>
      <c r="J960" s="46">
        <f>SUMIF($B$954:$B$958,"section",J960:J964)</f>
        <v>31469583.690000005</v>
      </c>
      <c r="K960" s="46">
        <f>SUMIF($B$954:$B$958,"section",K960:K964)</f>
        <v>3561616.3099999968</v>
      </c>
      <c r="L960" s="47">
        <f>+J960/H960</f>
        <v>0.8983301653954191</v>
      </c>
      <c r="M960" s="46"/>
      <c r="N960" s="46"/>
      <c r="O960" s="48"/>
      <c r="AO960" s="11"/>
    </row>
    <row r="961" spans="1:42" s="1" customFormat="1" ht="27.75" customHeight="1" thickBot="1" x14ac:dyDescent="0.3">
      <c r="A961" s="50" t="s">
        <v>20</v>
      </c>
      <c r="B961" s="50" t="s">
        <v>20</v>
      </c>
      <c r="C961" s="50" t="s">
        <v>20</v>
      </c>
      <c r="D961" s="51">
        <v>4411111</v>
      </c>
      <c r="E961" s="67" t="str">
        <f>+[49]mensuel_section_article1!D959</f>
        <v>SECRETARIAT TECHNIQUE DE L'ACADEMIE DU CREOLE HAITIEN</v>
      </c>
      <c r="F961" s="68" t="e">
        <f>SUMIF($B$956:$B$958,"article",F962:F964)</f>
        <v>#VALUE!</v>
      </c>
      <c r="G961" s="68" t="e">
        <f>SUMIF($B$956:$B$958,"article",G962:G964)</f>
        <v>#VALUE!</v>
      </c>
      <c r="H961" s="68">
        <f>SUMIF($B$956:$B$958,"article",H962:H964)</f>
        <v>35031200</v>
      </c>
      <c r="I961" s="68">
        <v>35031200</v>
      </c>
      <c r="J961" s="68">
        <f>SUMIF($B$956:$B$958,"article",J962:J964)</f>
        <v>31469583.690000005</v>
      </c>
      <c r="K961" s="68">
        <f>SUMIF($B$956:$B$958,"article",K962:K964)</f>
        <v>3561616.3099999968</v>
      </c>
      <c r="L961" s="69">
        <f>+J961/H961</f>
        <v>0.8983301653954191</v>
      </c>
      <c r="M961" s="68"/>
      <c r="N961" s="68"/>
      <c r="O961" s="9"/>
      <c r="Q961" s="23"/>
      <c r="AK961" s="70"/>
      <c r="AL961" s="70"/>
      <c r="AM961" s="70"/>
      <c r="AN961" s="70"/>
      <c r="AO961" s="11">
        <v>4411111</v>
      </c>
    </row>
    <row r="962" spans="1:42" s="62" customFormat="1" ht="30.75" customHeight="1" thickTop="1" thickBot="1" x14ac:dyDescent="0.3">
      <c r="A962" s="56" t="s">
        <v>22</v>
      </c>
      <c r="B962" s="56" t="s">
        <v>22</v>
      </c>
      <c r="C962" s="57">
        <f>IF(A961="SECTION",D961,C961)</f>
        <v>4411111</v>
      </c>
      <c r="D962" s="58">
        <v>1</v>
      </c>
      <c r="E962" s="59" t="str">
        <f>IF(D962=1, "DEPENSES DE PERSONNEL",  +IF(D962=2,"DEPENSES DE SERVICES ET CHARGES DIVERSES", +IF(D962=3,"ACHATS DE BIENS DE CONSOMMATION ET PETITS MATERIELS",+IF(D962=4,"IMMOBILISATION CORPORELLE",+IF(D962=5,"IMMOBILISATION INCORPORELLE",+IF(D962=7,"SUBVENTIONS,QUOTES-PARTS ET CONTRIB.,ALLOC, INDEMNISATIONS",+IF(D962=8,"AMORTISSEMENT DE LA DETTE",+IF(D962=9,"AUTRES DEPENSES PUBLIQUES",0))))))))</f>
        <v>DEPENSES DE PERSONNEL</v>
      </c>
      <c r="F962" s="60" t="e">
        <f>SUMIFS([49]mensuel_section_article1!$E$3:$E$962,[49]mensuel_section_article1!$B$3:$B$962,C962,[49]mensuel_section_article1!$C$3:$C$962,D962)</f>
        <v>#VALUE!</v>
      </c>
      <c r="G962" s="60" t="e">
        <f>SUMIFS([49]mensuel_section_article1!$G$3:$G$962,[49]mensuel_section_article1!$B$3:$B$962,C962,[49]mensuel_section_article1!$C$3:$C$962,D962)</f>
        <v>#VALUE!</v>
      </c>
      <c r="H962" s="60">
        <v>17406858.329999998</v>
      </c>
      <c r="I962" s="60">
        <v>17406858.300000001</v>
      </c>
      <c r="J962" s="60">
        <v>16903524.010000002</v>
      </c>
      <c r="K962" s="60">
        <f t="shared" ref="K962:K964" si="541">+H962-J962</f>
        <v>503334.31999999657</v>
      </c>
      <c r="L962" s="61">
        <f>+J962/H962</f>
        <v>0.97108413761646351</v>
      </c>
      <c r="M962" s="60"/>
      <c r="N962" s="24"/>
      <c r="O962" s="9"/>
      <c r="Q962" s="66"/>
      <c r="AK962" s="64"/>
      <c r="AL962" s="64"/>
      <c r="AM962" s="64"/>
      <c r="AN962" s="64"/>
      <c r="AO962" s="11">
        <v>4411111</v>
      </c>
      <c r="AP962" s="65" t="str">
        <f>CONCATENATE(AO962,D962)</f>
        <v>44111111</v>
      </c>
    </row>
    <row r="963" spans="1:42" s="62" customFormat="1" ht="27.75" customHeight="1" thickTop="1" thickBot="1" x14ac:dyDescent="0.3">
      <c r="A963" s="56" t="s">
        <v>22</v>
      </c>
      <c r="B963" s="56" t="s">
        <v>22</v>
      </c>
      <c r="C963" s="57">
        <f>IF(A961="SECTION",D961,C961)</f>
        <v>4411111</v>
      </c>
      <c r="D963" s="58">
        <v>2</v>
      </c>
      <c r="E963" s="59" t="str">
        <f>IF(D963=1, "DEPENSES DE PERSONNEL",  +IF(D963=2,"DEPENSES DE SERVICES ET CHARGES DIVERSES", +IF(D963=3,"ACHATS DE BIENS DE CONSOMMATION ET PETITS MATERIELS",+IF(D963=4,"IMMOBILISATION CORPORELLE",+IF(D963=5,"IMMOBILISATION INCORPORELLE",+IF(D963=7,"SUBVENTIONS,QUOTES-PARTS ET CONTRIB.,ALLOC, INDEMNISATIONS",+IF(D963=8,"AMORTISSEMENT DE LA DETTE",+IF(D963=9,"AUTRES DEPENSES PUBLIQUES",0))))))))</f>
        <v>DEPENSES DE SERVICES ET CHARGES DIVERSES</v>
      </c>
      <c r="F963" s="60" t="e">
        <f>SUMIFS([49]mensuel_section_article1!$E$3:$E$962,[49]mensuel_section_article1!$B$3:$B$962,C963,[49]mensuel_section_article1!$C$3:$C$962,D963)</f>
        <v>#VALUE!</v>
      </c>
      <c r="G963" s="60" t="e">
        <f>SUMIFS([49]mensuel_section_article1!$G$3:$G$962,[49]mensuel_section_article1!$B$3:$B$962,C963,[49]mensuel_section_article1!$C$3:$C$962,D963)</f>
        <v>#VALUE!</v>
      </c>
      <c r="H963" s="60">
        <v>17624341.670000002</v>
      </c>
      <c r="I963" s="60">
        <v>17624341.699999999</v>
      </c>
      <c r="J963" s="60">
        <v>14566059.680000002</v>
      </c>
      <c r="K963" s="60">
        <f t="shared" si="541"/>
        <v>3058281.99</v>
      </c>
      <c r="L963" s="61">
        <f>+J963/H963</f>
        <v>0.82647397291407598</v>
      </c>
      <c r="M963" s="60"/>
      <c r="N963" s="24"/>
      <c r="O963" s="9"/>
      <c r="Q963" s="66"/>
      <c r="AK963" s="64"/>
      <c r="AL963" s="64"/>
      <c r="AM963" s="64"/>
      <c r="AN963" s="64"/>
      <c r="AO963" s="11">
        <v>4411111</v>
      </c>
      <c r="AP963" s="65" t="str">
        <f>CONCATENATE(AO963,D963)</f>
        <v>44111112</v>
      </c>
    </row>
    <row r="964" spans="1:42" s="62" customFormat="1" ht="27.75" hidden="1" customHeight="1" thickTop="1" thickBot="1" x14ac:dyDescent="0.3">
      <c r="A964" s="56" t="s">
        <v>22</v>
      </c>
      <c r="B964" s="56" t="s">
        <v>22</v>
      </c>
      <c r="C964" s="57">
        <f>IF(A962="SECTION",D962,C962)</f>
        <v>4411111</v>
      </c>
      <c r="D964" s="58">
        <v>7</v>
      </c>
      <c r="E964" s="59" t="str">
        <f>IF(D964=1, "DEPENSES DE PERSONNEL",  +IF(D964=2,"DEPENSES DE SERVICES ET CHARGES DIVERSES", +IF(D964=3,"ACHATS DE BIENS DE CONSOMMATION ET PETITS MATERIELS",+IF(D964=4,"IMMOBILISATION CORPORELLE",+IF(D964=5,"IMMOBILISATION INCORPORELLE",+IF(D964=7,"SUBVENTIONS,QUOTES-PARTS ET CONTRIB.,ALLOC, INDEMNISATIONS",+IF(D964=8,"AMORTISSEMENT DE LA DETTE",+IF(D964=9,"AUTRES DEPENSES PUBLIQUES",0))))))))</f>
        <v>SUBVENTIONS,QUOTES-PARTS ET CONTRIB.,ALLOC, INDEMNISATIONS</v>
      </c>
      <c r="F964" s="60" t="e">
        <f>SUMIFS([49]mensuel_section_article1!$E$3:$E$962,[49]mensuel_section_article1!$B$3:$B$962,C964,[49]mensuel_section_article1!$C$3:$C$962,D964)</f>
        <v>#VALUE!</v>
      </c>
      <c r="G964" s="60" t="e">
        <f>SUMIFS([49]mensuel_section_article1!$G$3:$G$962,[49]mensuel_section_article1!$B$3:$B$962,C964,[49]mensuel_section_article1!$C$3:$C$962,D964)</f>
        <v>#VALUE!</v>
      </c>
      <c r="H964" s="60">
        <v>0</v>
      </c>
      <c r="I964" s="60">
        <v>0</v>
      </c>
      <c r="J964" s="60">
        <v>0</v>
      </c>
      <c r="K964" s="60">
        <f t="shared" si="541"/>
        <v>0</v>
      </c>
      <c r="L964" s="61" t="e">
        <f>IF(F964&lt;&gt;0,K964/F964,0)</f>
        <v>#VALUE!</v>
      </c>
      <c r="M964" s="60" t="e">
        <f>+SUMIFS([51]section_article!$H$10:$H$936,[51]section_article!$C$10:$C$936,C964,[51]section_article!$D$10:$D$936,D964)</f>
        <v>#VALUE!</v>
      </c>
      <c r="N964" s="24" t="e">
        <f>+J964-M964</f>
        <v>#VALUE!</v>
      </c>
      <c r="O964" s="9"/>
      <c r="Q964" s="66"/>
      <c r="AK964" s="64"/>
      <c r="AL964" s="64"/>
      <c r="AM964" s="64"/>
      <c r="AN964" s="64"/>
      <c r="AO964" s="11">
        <v>4411111</v>
      </c>
      <c r="AP964" s="65" t="str">
        <f>CONCATENATE(AO964,D964)</f>
        <v>44111117</v>
      </c>
    </row>
    <row r="965" spans="1:42" ht="15.75" thickTop="1" x14ac:dyDescent="0.25">
      <c r="A965" s="119"/>
      <c r="B965" s="119"/>
      <c r="C965" s="119"/>
      <c r="D965" s="120" t="s">
        <v>156</v>
      </c>
      <c r="E965" s="121"/>
      <c r="F965" s="122"/>
      <c r="G965" s="123"/>
      <c r="H965" s="123"/>
      <c r="I965" s="123"/>
      <c r="J965" s="123"/>
      <c r="K965" s="123"/>
      <c r="L965" s="124"/>
      <c r="M965" s="123"/>
      <c r="N965" s="125"/>
      <c r="Q965" s="126"/>
      <c r="AK965" s="125"/>
      <c r="AL965" s="125"/>
      <c r="AM965" s="125"/>
      <c r="AN965" s="125"/>
    </row>
    <row r="966" spans="1:42" x14ac:dyDescent="0.25">
      <c r="A966" s="119"/>
      <c r="B966" s="119"/>
      <c r="C966" s="119"/>
      <c r="D966" s="127">
        <v>1</v>
      </c>
      <c r="E966" s="128" t="s">
        <v>157</v>
      </c>
      <c r="F966" s="129" t="e">
        <f>SUMIFS(F5:F966,$B$5:$B$966,"ARTICLE",$D$5:$D$966,$D$966)</f>
        <v>#VALUE!</v>
      </c>
      <c r="G966" s="60" t="e">
        <f>SUMIFS(G5:G966,$B$5:$B$966,"ARTICLE",$D$5:$D$966,$D$966)</f>
        <v>#VALUE!</v>
      </c>
      <c r="H966" s="60">
        <v>41997956754.439804</v>
      </c>
      <c r="I966" s="60">
        <v>41978003754.100037</v>
      </c>
      <c r="J966" s="60">
        <v>41377441189.259987</v>
      </c>
      <c r="K966" s="60">
        <f>SUMIFS(K5:K958,$B$5:$B$958,"ARTICLE",$D$5:$D$958,$D$966)</f>
        <v>620012230.8597914</v>
      </c>
      <c r="L966" s="61" t="e">
        <f t="shared" ref="L966:L973" si="542">IF(F966&lt;&gt;0,K966/F966,0)</f>
        <v>#VALUE!</v>
      </c>
      <c r="M966" s="60"/>
      <c r="N966" s="125"/>
      <c r="Q966" s="126"/>
      <c r="AK966" s="125"/>
      <c r="AL966" s="125"/>
      <c r="AM966" s="125"/>
      <c r="AN966" s="125"/>
      <c r="AO966" s="17">
        <v>0</v>
      </c>
    </row>
    <row r="967" spans="1:42" x14ac:dyDescent="0.25">
      <c r="A967" s="119"/>
      <c r="B967" s="119"/>
      <c r="C967" s="119"/>
      <c r="D967" s="127">
        <v>2</v>
      </c>
      <c r="E967" s="128" t="s">
        <v>158</v>
      </c>
      <c r="F967" s="130" t="e">
        <f>SUMIFS(F5:F966,$B$5:$B$966,"ARTICLE",$D$5:$D$966,$D$967)</f>
        <v>#VALUE!</v>
      </c>
      <c r="G967" s="60" t="e">
        <f>SUMIFS(G5:G966,$B$5:$B$966,"ARTICLE",$D$5:$D$966,$D$967)</f>
        <v>#VALUE!</v>
      </c>
      <c r="H967" s="60">
        <v>9529728225.8586044</v>
      </c>
      <c r="I967" s="60">
        <v>9462256548.3100014</v>
      </c>
      <c r="J967" s="60">
        <v>7861291317.6999998</v>
      </c>
      <c r="K967" s="60">
        <f>SUMIFS(K5:K958,$B$5:$B$958,"ARTICLE",$D$5:$D$958,$D$967)</f>
        <v>1665378626.1685996</v>
      </c>
      <c r="L967" s="61" t="e">
        <f t="shared" si="542"/>
        <v>#VALUE!</v>
      </c>
      <c r="M967" s="60"/>
      <c r="N967" s="131"/>
      <c r="AK967" s="125"/>
      <c r="AL967" s="125"/>
      <c r="AM967" s="125"/>
      <c r="AN967" s="125"/>
      <c r="AO967" s="17">
        <v>0</v>
      </c>
    </row>
    <row r="968" spans="1:42" ht="25.5" x14ac:dyDescent="0.25">
      <c r="A968" s="119"/>
      <c r="B968" s="119"/>
      <c r="C968" s="119"/>
      <c r="D968" s="127">
        <v>3</v>
      </c>
      <c r="E968" s="128" t="s">
        <v>159</v>
      </c>
      <c r="F968" s="130" t="e">
        <f>SUMIFS(F5:F966,$B$5:$B$966,"ARTICLE",$D$5:$D$966,$D$968)</f>
        <v>#VALUE!</v>
      </c>
      <c r="G968" s="60" t="e">
        <f>SUMIFS(G5:G966,$B$5:$B$966,"ARTICLE",$D$5:$D$966,$D$968)</f>
        <v>#VALUE!</v>
      </c>
      <c r="H968" s="60">
        <v>4109879341.4842601</v>
      </c>
      <c r="I968" s="60">
        <v>5215170731.079998</v>
      </c>
      <c r="J968" s="60">
        <v>4819625332.2699995</v>
      </c>
      <c r="K968" s="60">
        <f>SUMIFS(K5:K958,$B$5:$B$958,"ARTICLE",$D$5:$D$958,$D$968)</f>
        <v>-709745990.78574002</v>
      </c>
      <c r="L968" s="61" t="e">
        <f t="shared" si="542"/>
        <v>#VALUE!</v>
      </c>
      <c r="M968" s="60"/>
      <c r="N968" s="132"/>
      <c r="AK968" s="125"/>
      <c r="AL968" s="125"/>
      <c r="AM968" s="125"/>
      <c r="AN968" s="125"/>
    </row>
    <row r="969" spans="1:42" x14ac:dyDescent="0.25">
      <c r="A969" s="119"/>
      <c r="B969" s="119"/>
      <c r="C969" s="119"/>
      <c r="D969" s="127">
        <v>4</v>
      </c>
      <c r="E969" s="128" t="s">
        <v>160</v>
      </c>
      <c r="F969" s="130" t="e">
        <f>SUMIFS(F5:F966,$B$5:$B$966,"ARTICLE",$D$5:$D$966,$D$969)</f>
        <v>#VALUE!</v>
      </c>
      <c r="G969" s="60" t="e">
        <f>SUMIFS(G5:G966,$B$5:$B$966,"ARTICLE",$D$5:$D$966,$D$969)</f>
        <v>#VALUE!</v>
      </c>
      <c r="H969" s="60">
        <v>1053595641.0385332</v>
      </c>
      <c r="I969" s="60">
        <v>1188404252.45</v>
      </c>
      <c r="J969" s="60">
        <v>813334490.66999996</v>
      </c>
      <c r="K969" s="60">
        <f>SUMIFS(K5:K958,$B$5:$B$958,"ARTICLE",$D$5:$D$958,$D$969)</f>
        <v>240261150.3685329</v>
      </c>
      <c r="L969" s="61" t="e">
        <f t="shared" si="542"/>
        <v>#VALUE!</v>
      </c>
      <c r="M969" s="60"/>
      <c r="N969" s="125"/>
      <c r="AK969" s="125"/>
      <c r="AL969" s="125"/>
      <c r="AM969" s="125"/>
      <c r="AN969" s="125"/>
    </row>
    <row r="970" spans="1:42" x14ac:dyDescent="0.25">
      <c r="A970" s="119"/>
      <c r="B970" s="119"/>
      <c r="C970" s="119"/>
      <c r="D970" s="127">
        <v>5</v>
      </c>
      <c r="E970" s="128" t="s">
        <v>161</v>
      </c>
      <c r="F970" s="130" t="e">
        <f>SUMIFS(F5:F966,$B$5:$B$966,"ARTICLE",$D$5:$D$966,$D$970)</f>
        <v>#VALUE!</v>
      </c>
      <c r="G970" s="60" t="e">
        <f>SUMIFS(G5:G966,$B$5:$B$966,"ARTICLE",$D$5:$D$966,$D$970)</f>
        <v>#VALUE!</v>
      </c>
      <c r="H970" s="60">
        <v>22745983.271200001</v>
      </c>
      <c r="I970" s="60">
        <v>8868866.2300000004</v>
      </c>
      <c r="J970" s="60">
        <v>1999820.5899999999</v>
      </c>
      <c r="K970" s="60">
        <f>SUMIFS(K5:K958,$B$5:$B$958,"ARTICLE",$D$5:$D$958,$D$970)</f>
        <v>20746162.681200001</v>
      </c>
      <c r="L970" s="61" t="e">
        <f t="shared" si="542"/>
        <v>#VALUE!</v>
      </c>
      <c r="M970" s="60"/>
      <c r="N970" s="125"/>
      <c r="AK970" s="125"/>
      <c r="AL970" s="125"/>
      <c r="AM970" s="125"/>
      <c r="AN970" s="125"/>
    </row>
    <row r="971" spans="1:42" ht="25.5" x14ac:dyDescent="0.25">
      <c r="A971" s="119"/>
      <c r="B971" s="119"/>
      <c r="C971" s="119"/>
      <c r="D971" s="127">
        <v>7</v>
      </c>
      <c r="E971" s="128" t="s">
        <v>162</v>
      </c>
      <c r="F971" s="130" t="e">
        <f>SUMIFS(F5:F966,$B$5:$B$966,"ARTICLE",$D$5:$D$966,$D$971)</f>
        <v>#VALUE!</v>
      </c>
      <c r="G971" s="60" t="e">
        <f>SUMIFS(G5:G966,$B$5:$B$966,"ARTICLE",$D$5:$D$966,$D$971)</f>
        <v>#VALUE!</v>
      </c>
      <c r="H971" s="60">
        <v>12746695169.309532</v>
      </c>
      <c r="I971" s="60">
        <v>12746695169.299999</v>
      </c>
      <c r="J971" s="60">
        <v>6774197373.3500004</v>
      </c>
      <c r="K971" s="60">
        <f>SUMIFS(K5:K958,$B$5:$B$958,"ARTICLE",$D$5:$D$958,$D$971)</f>
        <v>5972497795.9595318</v>
      </c>
      <c r="L971" s="61" t="e">
        <f t="shared" si="542"/>
        <v>#VALUE!</v>
      </c>
      <c r="M971" s="60"/>
      <c r="N971" s="125"/>
      <c r="AK971" s="125"/>
      <c r="AL971" s="125"/>
      <c r="AM971" s="125"/>
      <c r="AN971" s="125"/>
    </row>
    <row r="972" spans="1:42" x14ac:dyDescent="0.25">
      <c r="A972" s="119"/>
      <c r="B972" s="119"/>
      <c r="C972" s="119"/>
      <c r="D972" s="127">
        <v>8</v>
      </c>
      <c r="E972" s="128" t="s">
        <v>163</v>
      </c>
      <c r="F972" s="130" t="e">
        <f>SUMIFS(F5:F966,$B$5:$B$966,"ARTICLE",$D$5:$D$966,$D$972)</f>
        <v>#VALUE!</v>
      </c>
      <c r="G972" s="60" t="e">
        <f>SUMIFS(G5:G966,$B$5:$B$966,"ARTICLE",$D$5:$D$966,$D$972)</f>
        <v>#VALUE!</v>
      </c>
      <c r="H972" s="60">
        <v>11289516918.005001</v>
      </c>
      <c r="I972" s="60">
        <v>11389516918</v>
      </c>
      <c r="J972" s="60">
        <v>11141990468.17</v>
      </c>
      <c r="K972" s="60">
        <f>SUMIFS(K5:K958,$B$5:$B$958,"ARTICLE",$D$5:$D$958,$D$972)</f>
        <v>147526449.8349998</v>
      </c>
      <c r="L972" s="61" t="e">
        <f t="shared" si="542"/>
        <v>#VALUE!</v>
      </c>
      <c r="M972" s="60"/>
      <c r="N972" s="125"/>
      <c r="AK972" s="125"/>
      <c r="AL972" s="125"/>
      <c r="AM972" s="125"/>
      <c r="AN972" s="125"/>
    </row>
    <row r="973" spans="1:42" x14ac:dyDescent="0.25">
      <c r="A973" s="133"/>
      <c r="B973" s="133"/>
      <c r="C973" s="119"/>
      <c r="D973" s="127">
        <v>9</v>
      </c>
      <c r="E973" s="128" t="s">
        <v>164</v>
      </c>
      <c r="F973" s="130" t="e">
        <f>SUMIFS(F5:F966,$B$5:$B$966,"ARTICLE",$D$5:$D$966,$D$973)</f>
        <v>#VALUE!</v>
      </c>
      <c r="G973" s="60" t="e">
        <f>SUMIFS(G5:G966,$B$5:$B$966,"ARTICLE",$D$5:$D$966,$D$973)</f>
        <v>#VALUE!</v>
      </c>
      <c r="H973" s="60">
        <v>15558231966.959402</v>
      </c>
      <c r="I973" s="60">
        <v>14524480760.350002</v>
      </c>
      <c r="J973" s="60">
        <v>12569243319.210001</v>
      </c>
      <c r="K973" s="60">
        <f>SUMIFS(K5:K958,$B$5:$B$958,"ARTICLE",$D$5:$D$958,$D$973)</f>
        <v>2988988647.7493987</v>
      </c>
      <c r="L973" s="61" t="e">
        <f t="shared" si="542"/>
        <v>#VALUE!</v>
      </c>
      <c r="M973" s="60"/>
      <c r="N973" s="125"/>
      <c r="AK973" s="125"/>
      <c r="AL973" s="125"/>
      <c r="AM973" s="125"/>
      <c r="AN973" s="125"/>
    </row>
    <row r="974" spans="1:42" x14ac:dyDescent="0.25">
      <c r="C974" s="119"/>
      <c r="F974" s="130"/>
    </row>
    <row r="975" spans="1:42" s="136" customFormat="1" x14ac:dyDescent="0.25">
      <c r="C975" s="119"/>
      <c r="D975" s="137"/>
      <c r="E975" s="121" t="s">
        <v>11</v>
      </c>
      <c r="F975" s="122" t="e">
        <f t="shared" ref="F975:K975" si="543">SUM(F966:F974)</f>
        <v>#VALUE!</v>
      </c>
      <c r="G975" s="123" t="e">
        <f t="shared" si="543"/>
        <v>#VALUE!</v>
      </c>
      <c r="H975" s="123">
        <v>96308350000.366348</v>
      </c>
      <c r="I975" s="123">
        <v>96513396999.820038</v>
      </c>
      <c r="J975" s="123">
        <v>85359123311.219986</v>
      </c>
      <c r="K975" s="123">
        <f t="shared" si="543"/>
        <v>10945665072.836315</v>
      </c>
      <c r="L975" s="124" t="e">
        <f>IF(F975&lt;&gt;0,K975/F975,0)</f>
        <v>#VALUE!</v>
      </c>
      <c r="M975" s="123"/>
      <c r="O975" s="138"/>
      <c r="AO975" s="17"/>
    </row>
    <row r="976" spans="1:42" x14ac:dyDescent="0.25">
      <c r="C976" s="119"/>
    </row>
    <row r="977" spans="3:41" s="136" customFormat="1" x14ac:dyDescent="0.25">
      <c r="C977" s="119"/>
      <c r="E977" s="140"/>
      <c r="F977" s="141" t="e">
        <f>+F975-F4</f>
        <v>#VALUE!</v>
      </c>
      <c r="G977" s="142" t="e">
        <f t="shared" ref="G977:M977" si="544">SUM(G966:G976)</f>
        <v>#VALUE!</v>
      </c>
      <c r="H977" s="142">
        <v>192616700000.7327</v>
      </c>
      <c r="I977" s="142">
        <v>193026793999.64008</v>
      </c>
      <c r="J977" s="142">
        <v>170718246622.43997</v>
      </c>
      <c r="K977" s="142">
        <f t="shared" si="544"/>
        <v>21891330145.67263</v>
      </c>
      <c r="L977" s="143" t="e">
        <f t="shared" si="544"/>
        <v>#VALUE!</v>
      </c>
      <c r="M977" s="142"/>
      <c r="N977" s="144"/>
      <c r="O977" s="138"/>
      <c r="AK977" s="144"/>
      <c r="AL977" s="144"/>
      <c r="AM977" s="144"/>
      <c r="AN977" s="144"/>
      <c r="AO977" s="17"/>
    </row>
    <row r="978" spans="3:41" x14ac:dyDescent="0.25">
      <c r="C978" s="119"/>
      <c r="F978" s="130"/>
      <c r="N978" s="145"/>
    </row>
    <row r="979" spans="3:41" x14ac:dyDescent="0.25">
      <c r="C979" s="119"/>
      <c r="F979" s="130" t="e">
        <f>SUBTOTAL(9,F837:F848)</f>
        <v>#VALUE!</v>
      </c>
    </row>
    <row r="980" spans="3:41" x14ac:dyDescent="0.25">
      <c r="C980" s="119"/>
    </row>
    <row r="981" spans="3:41" x14ac:dyDescent="0.25">
      <c r="C981" s="119"/>
      <c r="F981" s="130" t="e">
        <f>SUBTOTAL(9,F6:F955)</f>
        <v>#VALUE!</v>
      </c>
      <c r="G981" s="60" t="e">
        <f>SUBTOTAL(9,G10:G955)</f>
        <v>#VALUE!</v>
      </c>
      <c r="H981" s="60">
        <v>449502824132.10217</v>
      </c>
      <c r="I981" s="60">
        <v>450544451882.70996</v>
      </c>
      <c r="J981" s="60">
        <v>402902411676.94995</v>
      </c>
      <c r="K981" s="60"/>
      <c r="L981" s="61"/>
      <c r="M981" s="60"/>
    </row>
    <row r="982" spans="3:41" x14ac:dyDescent="0.25">
      <c r="C982" s="119"/>
      <c r="N982" s="146"/>
    </row>
    <row r="983" spans="3:41" x14ac:dyDescent="0.25">
      <c r="C983" s="119"/>
      <c r="D983" s="127">
        <v>1</v>
      </c>
      <c r="E983" s="147" t="s">
        <v>165</v>
      </c>
      <c r="F983" s="130" t="e">
        <f>SUMIF($D$7:$D$964,$D$983,F$7:F$964)</f>
        <v>#VALUE!</v>
      </c>
      <c r="G983" s="60" t="e">
        <f t="shared" ref="G983:G990" si="545">SUMIF($D$7:$D$964,D983,G$7:G$964)</f>
        <v>#VALUE!</v>
      </c>
      <c r="H983" s="60">
        <v>0</v>
      </c>
      <c r="I983" s="60">
        <v>0</v>
      </c>
      <c r="J983" s="60">
        <v>41377441189.259987</v>
      </c>
      <c r="K983" s="60">
        <f>SUMIF($D$7:$D$964,$D$983,K$7:K$964)</f>
        <v>620515565.17979145</v>
      </c>
      <c r="L983" s="61" t="e">
        <f>SUM(L973:L980)</f>
        <v>#VALUE!</v>
      </c>
      <c r="M983" s="60"/>
    </row>
    <row r="984" spans="3:41" x14ac:dyDescent="0.25">
      <c r="C984" s="119"/>
      <c r="D984" s="148">
        <v>2</v>
      </c>
      <c r="E984" s="147" t="str">
        <f>VLOOKUP(D984,[49]NOM!$D$2:$E$621,2,FALSE)</f>
        <v>DEPENSES DE SERVICES ET CHARGES DIVERSES</v>
      </c>
      <c r="F984" s="130" t="e">
        <f>SUMIF($D$5:$D$958,$D$984,F$5:F$958)</f>
        <v>#VALUE!</v>
      </c>
      <c r="G984" s="60" t="e">
        <f t="shared" si="545"/>
        <v>#VALUE!</v>
      </c>
      <c r="H984" s="60">
        <v>0</v>
      </c>
      <c r="I984" s="60">
        <v>0</v>
      </c>
      <c r="J984" s="60">
        <v>13289880814.91</v>
      </c>
      <c r="K984" s="60">
        <f>SUMIF($D$5:$D$958,$D$984,K$5:K$958)</f>
        <v>2134866558.3130598</v>
      </c>
      <c r="L984" s="61"/>
      <c r="M984" s="60"/>
    </row>
    <row r="985" spans="3:41" ht="25.5" x14ac:dyDescent="0.25">
      <c r="C985" s="119"/>
      <c r="D985" s="148">
        <v>3</v>
      </c>
      <c r="E985" s="147" t="str">
        <f>VLOOKUP(D985,[49]NOM!$D$2:$E$621,2,FALSE)</f>
        <v>ACHATS DE BIENS DE CONSOMMATION ET PETIT MATERIEL</v>
      </c>
      <c r="F985" s="130" t="e">
        <f>SUMIF($D$5:$D$958,$D$985,F$5:F$958)</f>
        <v>#VALUE!</v>
      </c>
      <c r="G985" s="60" t="e">
        <f t="shared" si="545"/>
        <v>#VALUE!</v>
      </c>
      <c r="H985" s="60">
        <v>0</v>
      </c>
      <c r="I985" s="60">
        <v>0</v>
      </c>
      <c r="J985" s="60">
        <v>6277911917.249999</v>
      </c>
      <c r="K985" s="60">
        <f>SUMIF($D$5:$D$958,$D$985,K$5:K$958)</f>
        <v>-690383773.23573995</v>
      </c>
      <c r="L985" s="61"/>
      <c r="M985" s="60"/>
    </row>
    <row r="986" spans="3:41" x14ac:dyDescent="0.25">
      <c r="C986" s="119"/>
      <c r="D986" s="127">
        <v>4</v>
      </c>
      <c r="E986" s="147" t="str">
        <f>VLOOKUP(D986,[49]NOM!$D$2:$E$621,2,FALSE)</f>
        <v xml:space="preserve">IMMOBILISATIONS CORPORELLES </v>
      </c>
      <c r="F986" s="130" t="e">
        <f>SUMIF($D$5:$D$958,$D$986,F$5:F$958)</f>
        <v>#VALUE!</v>
      </c>
      <c r="G986" s="60" t="e">
        <f t="shared" si="545"/>
        <v>#VALUE!</v>
      </c>
      <c r="H986" s="60">
        <v>0</v>
      </c>
      <c r="I986" s="60">
        <v>0</v>
      </c>
      <c r="J986" s="60">
        <v>3372382502.9699998</v>
      </c>
      <c r="K986" s="60">
        <f>SUMIF($D$5:$D$958,$D$986,K$5:K$958)</f>
        <v>304249619.10653245</v>
      </c>
      <c r="L986" s="61"/>
      <c r="M986" s="60"/>
    </row>
    <row r="987" spans="3:41" x14ac:dyDescent="0.25">
      <c r="C987" s="119"/>
      <c r="D987" s="127">
        <v>5</v>
      </c>
      <c r="E987" s="147" t="str">
        <f>VLOOKUP(D987,[49]NOM!$D$2:$E$621,2,FALSE)</f>
        <v>IMMOBILISATIONS INCORPORELLES</v>
      </c>
      <c r="F987" s="130" t="e">
        <f>SUMIF($D$5:$D$958,$D$987,F$5:F$958)</f>
        <v>#VALUE!</v>
      </c>
      <c r="G987" s="60" t="e">
        <f t="shared" si="545"/>
        <v>#VALUE!</v>
      </c>
      <c r="H987" s="60">
        <v>0</v>
      </c>
      <c r="I987" s="60">
        <v>0</v>
      </c>
      <c r="J987" s="60">
        <v>1999820.5899999999</v>
      </c>
      <c r="K987" s="60">
        <f>SUMIF($D$5:$D$958,$D$987,K$5:K$958)</f>
        <v>20746162.681200001</v>
      </c>
      <c r="L987" s="61"/>
      <c r="M987" s="60"/>
    </row>
    <row r="988" spans="3:41" ht="25.5" x14ac:dyDescent="0.25">
      <c r="C988" s="119"/>
      <c r="D988" s="127">
        <v>7</v>
      </c>
      <c r="E988" s="147" t="str">
        <f>VLOOKUP(D988,[49]NOM!$D$2:$E$621,2,FALSE)</f>
        <v>SUBVENTIONS, QUOTES - PARTS ET CONTRIBUTIONS, ALLOCATIONS, INDEMNISATIONS</v>
      </c>
      <c r="F988" s="130" t="e">
        <f>SUMIF($D$5:$D$958,$D$988,F$5:F$958)</f>
        <v>#VALUE!</v>
      </c>
      <c r="G988" s="60" t="e">
        <f t="shared" si="545"/>
        <v>#VALUE!</v>
      </c>
      <c r="H988" s="60">
        <v>0</v>
      </c>
      <c r="I988" s="60">
        <v>0</v>
      </c>
      <c r="J988" s="60">
        <v>6774197373.3500004</v>
      </c>
      <c r="K988" s="60">
        <f>SUMIF($D$5:$D$958,$D$988,K$5:K$958)</f>
        <v>5972497795.9595318</v>
      </c>
      <c r="L988" s="61"/>
      <c r="M988" s="60"/>
    </row>
    <row r="989" spans="3:41" x14ac:dyDescent="0.25">
      <c r="C989" s="119"/>
      <c r="D989" s="127">
        <v>8</v>
      </c>
      <c r="E989" s="147" t="str">
        <f>VLOOKUP(D989,[49]NOM!$D$2:$E$621,2,FALSE)</f>
        <v>AMORTISSEMENT DE LA DETTE PUBLIQUE</v>
      </c>
      <c r="F989" s="130" t="e">
        <f>SUMIF($D$5:$D$958,$D$989,F$5:F$958)</f>
        <v>#VALUE!</v>
      </c>
      <c r="G989" s="60" t="e">
        <f t="shared" si="545"/>
        <v>#VALUE!</v>
      </c>
      <c r="H989" s="60">
        <v>0</v>
      </c>
      <c r="I989" s="60">
        <v>0</v>
      </c>
      <c r="J989" s="60">
        <v>11141990468.17</v>
      </c>
      <c r="K989" s="60">
        <f>SUMIF($D$5:$D$958,$D$989,K$5:K$958)</f>
        <v>147526449.8349998</v>
      </c>
      <c r="L989" s="61"/>
      <c r="M989" s="60"/>
      <c r="AO989" s="17" t="s">
        <v>166</v>
      </c>
    </row>
    <row r="990" spans="3:41" x14ac:dyDescent="0.25">
      <c r="C990" s="119"/>
      <c r="D990" s="127">
        <v>9</v>
      </c>
      <c r="E990" s="147" t="str">
        <f>VLOOKUP(D990,[49]NOM!$D$2:$E$621,2,FALSE)</f>
        <v>AUTRES DEPENSES PUBLIQUES</v>
      </c>
      <c r="F990" s="130" t="e">
        <f>SUMIF($D$5:$D$958,$D$990,F$5:F$958)</f>
        <v>#VALUE!</v>
      </c>
      <c r="G990" s="60" t="e">
        <f t="shared" si="545"/>
        <v>#VALUE!</v>
      </c>
      <c r="H990" s="60">
        <v>0</v>
      </c>
      <c r="I990" s="60">
        <v>0</v>
      </c>
      <c r="J990" s="60">
        <v>12569243319.210001</v>
      </c>
      <c r="K990" s="60">
        <f>SUMIF($D$5:$D$958,$D$990,K$5:K$958)</f>
        <v>2988988647.7493987</v>
      </c>
      <c r="L990" s="61"/>
      <c r="M990" s="60"/>
      <c r="AO990" s="17" t="s">
        <v>166</v>
      </c>
    </row>
    <row r="991" spans="3:41" x14ac:dyDescent="0.25">
      <c r="C991" s="133"/>
    </row>
    <row r="993" spans="3:15" x14ac:dyDescent="0.25">
      <c r="F993" s="141" t="e">
        <f t="shared" ref="F993:K993" si="546">SUM(F983:F990)</f>
        <v>#VALUE!</v>
      </c>
      <c r="G993" s="142" t="e">
        <f t="shared" si="546"/>
        <v>#VALUE!</v>
      </c>
      <c r="H993" s="142">
        <v>0</v>
      </c>
      <c r="I993" s="142">
        <v>0</v>
      </c>
      <c r="J993" s="142">
        <v>94805047405.709991</v>
      </c>
      <c r="K993" s="142">
        <f t="shared" si="546"/>
        <v>11499007025.588774</v>
      </c>
      <c r="L993" s="143"/>
      <c r="M993" s="142"/>
    </row>
    <row r="995" spans="3:15" x14ac:dyDescent="0.25">
      <c r="C995" s="136"/>
    </row>
    <row r="999" spans="3:15" x14ac:dyDescent="0.25">
      <c r="O999"/>
    </row>
  </sheetData>
  <autoFilter ref="A2:S975">
    <filterColumn colId="7">
      <filters blank="1">
        <filter val="1,000,000"/>
        <filter val="1,047,018,580"/>
        <filter val="1,053,595,641"/>
        <filter val="1,062,817,343"/>
        <filter val="1,073,010,972"/>
        <filter val="1,099,300"/>
        <filter val="1,100,000,000"/>
        <filter val="1,114,314,104"/>
        <filter val="1,137,593,398"/>
        <filter val="1,138,078,675"/>
        <filter val="1,169,534,174"/>
        <filter val="1,173,459,200"/>
        <filter val="1,186,023"/>
        <filter val="1,206,120"/>
        <filter val="1,247,256,928"/>
        <filter val="1,259,683,962"/>
        <filter val="1,299,992"/>
        <filter val="1,303,000,000"/>
        <filter val="1,306,859,345"/>
        <filter val="1,335,509,900"/>
        <filter val="1,457,526"/>
        <filter val="1,465,000"/>
        <filter val="1,475,368,241"/>
        <filter val="1,477,648,803"/>
        <filter val="1,478,372,582"/>
        <filter val="1,504,104,534"/>
        <filter val="1,550,176,572"/>
        <filter val="1,560,195,460"/>
        <filter val="1,568,353,899"/>
        <filter val="1,731,211,188"/>
        <filter val="1,739,998,862"/>
        <filter val="1,753,170,854"/>
        <filter val="1,776,036,464"/>
        <filter val="1,923,121"/>
        <filter val="1,932,067,570"/>
        <filter val="10,000,000"/>
        <filter val="10,281,326"/>
        <filter val="10,336,362"/>
        <filter val="10,500,000"/>
        <filter val="10,672,800"/>
        <filter val="10,785,437"/>
        <filter val="10,800,000"/>
        <filter val="100,000"/>
        <filter val="100,000,000"/>
        <filter val="100,100,000"/>
        <filter val="100,800,017"/>
        <filter val="103,634,491"/>
        <filter val="103,894,854"/>
        <filter val="103,990,638"/>
        <filter val="104,269,392"/>
        <filter val="105,839,225"/>
        <filter val="109,482,431"/>
        <filter val="109,999,944"/>
        <filter val="11,000,000"/>
        <filter val="11,048,844"/>
        <filter val="11,090,580,653"/>
        <filter val="11,162,614"/>
        <filter val="11,289,516,918"/>
        <filter val="11,692,334,902"/>
        <filter val="11,708,135"/>
        <filter val="11,863,799"/>
        <filter val="11,904,352"/>
        <filter val="11,953,368"/>
        <filter val="11,987,395"/>
        <filter val="110,122,055"/>
        <filter val="110,548,044"/>
        <filter val="110,987,417"/>
        <filter val="112,204,991"/>
        <filter val="113,832,266"/>
        <filter val="113,995,064"/>
        <filter val="114,000,000"/>
        <filter val="114,496,257"/>
        <filter val="114,999,888"/>
        <filter val="115,235,383"/>
        <filter val="116,856,148"/>
        <filter val="119,730"/>
        <filter val="12,000,000"/>
        <filter val="12,018,584"/>
        <filter val="12,134,723"/>
        <filter val="12,142,217,439"/>
        <filter val="12,161,299"/>
        <filter val="12,205,237"/>
        <filter val="12,602,730"/>
        <filter val="12,746,695,169"/>
        <filter val="12,749,944"/>
        <filter val="12,763,217,124"/>
        <filter val="12,796,747"/>
        <filter val="120,481,769"/>
        <filter val="121,319,606"/>
        <filter val="121,600,000"/>
        <filter val="122,037,985"/>
        <filter val="123,659,132"/>
        <filter val="124,002,960"/>
        <filter val="124,994,880"/>
        <filter val="13,000,000"/>
        <filter val="13,178,754"/>
        <filter val="13,401,213"/>
        <filter val="13,649,336"/>
        <filter val="13,695,568"/>
        <filter val="13,716,439"/>
        <filter val="13,769,128"/>
        <filter val="13,834,200"/>
        <filter val="13,922,733"/>
        <filter val="13,977,956"/>
        <filter val="130,000,001"/>
        <filter val="130,071,765"/>
        <filter val="133,500,000"/>
        <filter val="133,912,357"/>
        <filter val="133,974,333"/>
        <filter val="136,259,481"/>
        <filter val="139,804,879"/>
        <filter val="14,030,176"/>
        <filter val="14,400,032,623"/>
        <filter val="14,424,448"/>
        <filter val="14,706,637,464"/>
        <filter val="14,772,824"/>
        <filter val="14,976,735"/>
        <filter val="14,999,007"/>
        <filter val="141,551,652"/>
        <filter val="141,836,316"/>
        <filter val="142,195,116"/>
        <filter val="142,218,574"/>
        <filter val="142,351,211"/>
        <filter val="144,000,180"/>
        <filter val="145,086,210"/>
        <filter val="146,000,000"/>
        <filter val="147,010,610"/>
        <filter val="15,061,522"/>
        <filter val="15,377,953"/>
        <filter val="15,407,696"/>
        <filter val="15,558,231,967"/>
        <filter val="15,583,897"/>
        <filter val="15,676,000"/>
        <filter val="15,705,263"/>
        <filter val="15,740,912"/>
        <filter val="15,781,394"/>
        <filter val="15,782,590"/>
        <filter val="150,828,501"/>
        <filter val="151,985,142"/>
        <filter val="155,373,894"/>
        <filter val="156,788,196"/>
        <filter val="157,399,572"/>
        <filter val="159,000,000"/>
        <filter val="159,442,415"/>
        <filter val="159,495,021"/>
        <filter val="16,379,984"/>
        <filter val="16,513,532"/>
        <filter val="16,585,516"/>
        <filter val="16,624,180"/>
        <filter val="16,822,146"/>
        <filter val="16,884,742"/>
        <filter val="16,945,671"/>
        <filter val="160,547,211"/>
        <filter val="160,784,641"/>
        <filter val="166,482,173"/>
        <filter val="167,999,992"/>
        <filter val="168,632,314"/>
        <filter val="17,035,032"/>
        <filter val="17,172,601,571"/>
        <filter val="17,231,701"/>
        <filter val="17,400,001"/>
        <filter val="17,406,858"/>
        <filter val="17,462,826"/>
        <filter val="17,624,342"/>
        <filter val="17,660,160"/>
        <filter val="17,709,413"/>
        <filter val="175,000,000"/>
        <filter val="177,975,568"/>
        <filter val="178,113,451"/>
        <filter val="18,000,000"/>
        <filter val="18,100,000"/>
        <filter val="18,177,495"/>
        <filter val="18,495,620"/>
        <filter val="18,739,672"/>
        <filter val="181,327,865"/>
        <filter val="181,500,000"/>
        <filter val="182,099,995"/>
        <filter val="184,198,893"/>
        <filter val="186,655,396"/>
        <filter val="189,520,558"/>
        <filter val="19,000,173"/>
        <filter val="19,084,347"/>
        <filter val="19,200,010"/>
        <filter val="19,217,410"/>
        <filter val="19,232,989"/>
        <filter val="19,586,629"/>
        <filter val="19,590,000"/>
        <filter val="19,732,653"/>
        <filter val="19,800,151"/>
        <filter val="19,804,330"/>
        <filter val="19,892,160"/>
        <filter val="19,922,453,350"/>
        <filter val="19,980,077"/>
        <filter val="19,999,992"/>
        <filter val="191,552,090"/>
        <filter val="193,203,101"/>
        <filter val="199,996"/>
        <filter val="2,000,000"/>
        <filter val="2,000,054"/>
        <filter val="2,004,889,107"/>
        <filter val="2,005,461,859"/>
        <filter val="2,005,503,707"/>
        <filter val="2,067,439,186"/>
        <filter val="2,116,800"/>
        <filter val="2,133,333,333"/>
        <filter val="2,160,830,671"/>
        <filter val="2,176,590,229"/>
        <filter val="2,193,916,929"/>
        <filter val="2,230,859,901"/>
        <filter val="2,280,281"/>
        <filter val="2,399,988"/>
        <filter val="2,403,332"/>
        <filter val="2,465,532"/>
        <filter val="2,500,000"/>
        <filter val="2,551,896"/>
        <filter val="2,623,036,481"/>
        <filter val="2,629,988"/>
        <filter val="2,972,423"/>
        <filter val="20,000,000"/>
        <filter val="20,036,352"/>
        <filter val="20,212,808"/>
        <filter val="20,391,131"/>
        <filter val="20,526,400"/>
        <filter val="20,534,104"/>
        <filter val="20,747,820"/>
        <filter val="20,831,369"/>
        <filter val="20,844,459"/>
        <filter val="20,962,836"/>
        <filter val="200,000"/>
        <filter val="205,100,000"/>
        <filter val="205,973,488"/>
        <filter val="21,131,924"/>
        <filter val="21,187,627"/>
        <filter val="21,268,842"/>
        <filter val="21,933,316,566"/>
        <filter val="210,000"/>
        <filter val="210,000,000"/>
        <filter val="211,707,750"/>
        <filter val="214,679,681"/>
        <filter val="218,067,483"/>
        <filter val="218,836,791"/>
        <filter val="22,194,972"/>
        <filter val="22,745,983"/>
        <filter val="220,284,371"/>
        <filter val="224,864,333"/>
        <filter val="227,883,124"/>
        <filter val="229,891,714"/>
        <filter val="23,083,105"/>
        <filter val="23,093,809"/>
        <filter val="23,500,000"/>
        <filter val="23,549,555"/>
        <filter val="23,608,172"/>
        <filter val="231,348,150"/>
        <filter val="238,182,633"/>
        <filter val="24,328,500"/>
        <filter val="24,755,423"/>
        <filter val="24,951,524"/>
        <filter val="240,000,000"/>
        <filter val="240,182,657"/>
        <filter val="243,141,764"/>
        <filter val="25,000,000"/>
        <filter val="25,031,544"/>
        <filter val="25,038,402"/>
        <filter val="25,416,103"/>
        <filter val="251,266,515"/>
        <filter val="253,842,573"/>
        <filter val="254,350,000"/>
        <filter val="254,979"/>
        <filter val="257,990,121"/>
        <filter val="258,064,799"/>
        <filter val="26,827,304"/>
        <filter val="26,908,992"/>
        <filter val="261,932,507"/>
        <filter val="262,068,010"/>
        <filter val="262,263,000"/>
        <filter val="263,000,000"/>
        <filter val="266,529,895"/>
        <filter val="27,038,103"/>
        <filter val="27,208,696"/>
        <filter val="27,211,600"/>
        <filter val="27,387,867"/>
        <filter val="27,491,087"/>
        <filter val="27,986,499"/>
        <filter val="270,964,330"/>
        <filter val="273,057,887"/>
        <filter val="275,168,724"/>
        <filter val="28,012,560"/>
        <filter val="28,065,363"/>
        <filter val="28,502,348"/>
        <filter val="28,628,150"/>
        <filter val="28,925,868"/>
        <filter val="29,799,992"/>
        <filter val="3,000,000"/>
        <filter val="3,011,334"/>
        <filter val="3,115,427,442"/>
        <filter val="3,164,749"/>
        <filter val="3,349,248"/>
        <filter val="3,361,157"/>
        <filter val="3,370,000"/>
        <filter val="3,379,448"/>
        <filter val="3,416,150,000"/>
        <filter val="3,445,081,142"/>
        <filter val="3,570,000"/>
        <filter val="3,570,076,022"/>
        <filter val="3,598,671"/>
        <filter val="3,681,783,588"/>
        <filter val="3,736,573"/>
        <filter val="3,752,046"/>
        <filter val="3,789,124"/>
        <filter val="3,796,990,225"/>
        <filter val="3,800,180"/>
        <filter val="3,806,821"/>
        <filter val="3,889,704"/>
        <filter val="3,993,853"/>
        <filter val="30,000,000"/>
        <filter val="30,000,010"/>
        <filter val="30,391,127"/>
        <filter val="30,449,164"/>
        <filter val="30,520,421"/>
        <filter val="30,700,000"/>
        <filter val="30,821,789"/>
        <filter val="300,000"/>
        <filter val="31,000,000"/>
        <filter val="31,247,820"/>
        <filter val="31,367,872"/>
        <filter val="31,572,634,195"/>
        <filter val="31,999,999"/>
        <filter val="313,000,000"/>
        <filter val="316,513,359"/>
        <filter val="319,390,010"/>
        <filter val="32,074,492"/>
        <filter val="32,351,316"/>
        <filter val="32,516,012"/>
        <filter val="323,518,263"/>
        <filter val="33,229,242"/>
        <filter val="33,292,876"/>
        <filter val="33,552,530"/>
        <filter val="33,707,643"/>
        <filter val="33,870,116"/>
        <filter val="33,914,402"/>
        <filter val="33,972,353"/>
        <filter val="330,000,000"/>
        <filter val="331,615,129"/>
        <filter val="337,227,446"/>
        <filter val="34,213,151"/>
        <filter val="34,260,061"/>
        <filter val="34,967,468"/>
        <filter val="35,000,000"/>
        <filter val="35,031,200"/>
        <filter val="35,032,532"/>
        <filter val="35,296,452"/>
        <filter val="350,474,898"/>
        <filter val="351,143,627"/>
        <filter val="36,000,000"/>
        <filter val="36,460,521"/>
        <filter val="37,257,963"/>
        <filter val="37,414,364"/>
        <filter val="37,425,068"/>
        <filter val="37,558,780"/>
        <filter val="37,799,735"/>
        <filter val="371,335,346"/>
        <filter val="38,390,188"/>
        <filter val="38,521,591"/>
        <filter val="38,760"/>
        <filter val="38,885,516"/>
        <filter val="380,840,225"/>
        <filter val="386,728,595"/>
        <filter val="39,000,000"/>
        <filter val="39,184,996"/>
        <filter val="39,483,987"/>
        <filter val="39,499,334"/>
        <filter val="39,904,879"/>
        <filter val="392,061,678"/>
        <filter val="4,009,140"/>
        <filter val="4,044,712"/>
        <filter val="4,109,879,341"/>
        <filter val="4,171,368"/>
        <filter val="4,194,383,378"/>
        <filter val="4,224,357"/>
        <filter val="4,319,806,195"/>
        <filter val="4,324,000"/>
        <filter val="4,450,403"/>
        <filter val="4,500,004"/>
        <filter val="4,566,260"/>
        <filter val="4,718,047"/>
        <filter val="4,874,687"/>
        <filter val="4,880,666"/>
        <filter val="4,963,001"/>
        <filter val="4,965,064"/>
        <filter val="4,993,572"/>
        <filter val="4,994,417"/>
        <filter val="4,994,780,599"/>
        <filter val="4,999,984"/>
        <filter val="40,065,573"/>
        <filter val="40,551,293"/>
        <filter val="400,000"/>
        <filter val="402,492,485"/>
        <filter val="41,000,000"/>
        <filter val="41,068,992"/>
        <filter val="41,257,058"/>
        <filter val="41,461,675"/>
        <filter val="41,543,052"/>
        <filter val="41,997,956,754"/>
        <filter val="412,768,635"/>
        <filter val="42,573,368"/>
        <filter val="42,638,811"/>
        <filter val="42,639,496"/>
        <filter val="429,050,836"/>
        <filter val="43,000,000"/>
        <filter val="43,467,336"/>
        <filter val="43,684,114"/>
        <filter val="437,113,774"/>
        <filter val="44,000,000"/>
        <filter val="44,419,184"/>
        <filter val="44,837,856"/>
        <filter val="44,948,160"/>
        <filter val="45,031,536"/>
        <filter val="46,192,491"/>
        <filter val="46,304,433"/>
        <filter val="461,075,000"/>
        <filter val="47,220,750"/>
        <filter val="47,491,004"/>
        <filter val="47,500,008"/>
        <filter val="479,999,990"/>
        <filter val="48,034,629"/>
        <filter val="48,350,616"/>
        <filter val="484,960"/>
        <filter val="49,083,923"/>
        <filter val="49,258,610"/>
        <filter val="49,387,794"/>
        <filter val="496,240,738"/>
        <filter val="5,000,000"/>
        <filter val="5,074,948"/>
        <filter val="5,081,774"/>
        <filter val="5,093,920,069"/>
        <filter val="5,306,618"/>
        <filter val="5,579,486,374"/>
        <filter val="5,762,737,277"/>
        <filter val="5,912,643,489"/>
        <filter val="5,928,581,904"/>
        <filter val="5,939,642"/>
        <filter val="5,959,552"/>
        <filter val="50,000,000"/>
        <filter val="50,299,795"/>
        <filter val="50,416,632"/>
        <filter val="50,487,006"/>
        <filter val="50,953,171"/>
        <filter val="500,000"/>
        <filter val="506,754,638"/>
        <filter val="512,555,474"/>
        <filter val="516,164,288"/>
        <filter val="52,000,000"/>
        <filter val="52,028,539"/>
        <filter val="52,200,000"/>
        <filter val="53,177,724"/>
        <filter val="53,263,029"/>
        <filter val="53,700,000"/>
        <filter val="538,000"/>
        <filter val="54,411,940"/>
        <filter val="54,450,445"/>
        <filter val="54,500,836"/>
        <filter val="54,653,426"/>
        <filter val="547,183,797"/>
        <filter val="55,285,666"/>
        <filter val="55,684,114"/>
        <filter val="56,100,929"/>
        <filter val="56,164,741"/>
        <filter val="56,509,675"/>
        <filter val="56,685,352"/>
        <filter val="560,510,000"/>
        <filter val="561,922,316"/>
        <filter val="562,984,672"/>
        <filter val="567,446,888"/>
        <filter val="57,000,000"/>
        <filter val="57,322,000"/>
        <filter val="57,505,389"/>
        <filter val="57,718,412"/>
        <filter val="57,999,972"/>
        <filter val="579,464,985"/>
        <filter val="58,255,424"/>
        <filter val="58,664,599"/>
        <filter val="581,710,436"/>
        <filter val="59,362,865"/>
        <filter val="59,392,772"/>
        <filter val="59,851,226"/>
        <filter val="594,342,957"/>
        <filter val="6,175,008"/>
        <filter val="6,203,968"/>
        <filter val="6,526,051"/>
        <filter val="6,561,380"/>
        <filter val="6,596,751"/>
        <filter val="6,665,999"/>
        <filter val="6,671,491"/>
        <filter val="6,907,810"/>
        <filter val="6,920,000"/>
        <filter val="60,000,001"/>
        <filter val="60,363,876"/>
        <filter val="60,583,595"/>
        <filter val="60,670,077"/>
        <filter val="600,545,325"/>
        <filter val="603,121,511"/>
        <filter val="61,000,000"/>
        <filter val="61,020,374"/>
        <filter val="61,095,000"/>
        <filter val="61,935,479"/>
        <filter val="61,999,952"/>
        <filter val="62,111,791"/>
        <filter val="62,374,421"/>
        <filter val="62,901,305"/>
        <filter val="627,001,561"/>
        <filter val="63,053,965"/>
        <filter val="639,563,002"/>
        <filter val="64,046,717"/>
        <filter val="65,209,421"/>
        <filter val="65,483,964"/>
        <filter val="650,000"/>
        <filter val="66,230,558"/>
        <filter val="664,896"/>
        <filter val="67,784,354"/>
        <filter val="679,452"/>
        <filter val="68,950,172"/>
        <filter val="686,084,270"/>
        <filter val="696,392,248"/>
        <filter val="7,008,919"/>
        <filter val="7,057,858,955"/>
        <filter val="7,090,907,154"/>
        <filter val="7,150,455"/>
        <filter val="7,175,000"/>
        <filter val="7,192,484"/>
        <filter val="7,255,598"/>
        <filter val="7,309,125,470"/>
        <filter val="7,499,944"/>
        <filter val="7,529,084,917"/>
        <filter val="7,740,558"/>
        <filter val="70,010,310"/>
        <filter val="70,400,000"/>
        <filter val="70,799,988"/>
        <filter val="70,851,656"/>
        <filter val="700,000"/>
        <filter val="700,476"/>
        <filter val="71,433,445"/>
        <filter val="718,364,544"/>
        <filter val="72,000,000"/>
        <filter val="72,200,209"/>
        <filter val="73,198,884"/>
        <filter val="73,550,330"/>
        <filter val="732,836,349"/>
        <filter val="734,519,658"/>
        <filter val="74,076,331"/>
        <filter val="74,378,501"/>
        <filter val="74,572,042"/>
        <filter val="74,946,044"/>
        <filter val="741,521"/>
        <filter val="76,509,675"/>
        <filter val="77,481,769"/>
        <filter val="77,826,100"/>
        <filter val="775,855,429"/>
        <filter val="78,000,000"/>
        <filter val="78,359,668"/>
        <filter val="8,093,833"/>
        <filter val="8,113,524"/>
        <filter val="8,128,248"/>
        <filter val="8,128,880"/>
        <filter val="8,340,388"/>
        <filter val="8,693,898"/>
        <filter val="8,743,055,560"/>
        <filter val="8,780,073"/>
        <filter val="80,581,855"/>
        <filter val="80,668,811"/>
        <filter val="80,712,308"/>
        <filter val="81,668,615"/>
        <filter val="82,074,420"/>
        <filter val="821,221"/>
        <filter val="824,000"/>
        <filter val="833,122,187"/>
        <filter val="84,000,001"/>
        <filter val="84,095,104"/>
        <filter val="85,213,563"/>
        <filter val="850,000,000"/>
        <filter val="858,538"/>
        <filter val="86,016,384"/>
        <filter val="86,295,021,228"/>
        <filter val="86,454,144"/>
        <filter val="86,694,529"/>
        <filter val="888,963,488"/>
        <filter val="89,720,088"/>
        <filter val="9,066,084"/>
        <filter val="9,068,990"/>
        <filter val="9,291,220"/>
        <filter val="9,405,975"/>
        <filter val="9,500,000"/>
        <filter val="9,500,002"/>
        <filter val="9,515,744,674"/>
        <filter val="9,529,728,226"/>
        <filter val="9,569,743"/>
        <filter val="9,696,072"/>
        <filter val="9,851,293"/>
        <filter val="9,900,932"/>
        <filter val="9,917,853,951"/>
        <filter val="9,929,623"/>
        <filter val="9,983,572"/>
        <filter val="9,999,996"/>
        <filter val="90,218,763"/>
        <filter val="90,719,304"/>
        <filter val="90,999,516"/>
        <filter val="91,872,757"/>
        <filter val="931,157"/>
        <filter val="938,369,381"/>
        <filter val="94,040,904"/>
        <filter val="958,954,869"/>
        <filter val="96,308,350,000"/>
        <filter val="96,366,873"/>
        <filter val="96,739,482"/>
        <filter val="98,960,460"/>
        <filter val="987,303"/>
        <filter val="998,773,306"/>
        <filter val="999,964"/>
      </filters>
    </filterColumn>
  </autoFilter>
  <mergeCells count="10">
    <mergeCell ref="J2:J3"/>
    <mergeCell ref="K2:K3"/>
    <mergeCell ref="L2:L3"/>
    <mergeCell ref="M2:M3"/>
    <mergeCell ref="D2:D3"/>
    <mergeCell ref="E2:E3"/>
    <mergeCell ref="F2:F3"/>
    <mergeCell ref="G2:G3"/>
    <mergeCell ref="H2:H3"/>
    <mergeCell ref="I2:I3"/>
  </mergeCells>
  <conditionalFormatting sqref="AO1:AO231 E983:E990 E954 D943:D945 E944 D933:D935 E934 D923:D925 E924 D914 D906 D898 D888:D896 E889 D879 D871 D861:D863 E862 D851:D853 E852 D848 D845 D842 D838 D835 D833 D825 D823 D820:D821 D811 D803 D781 D777 D775 D767 D759 D751 D742:D743 D735 D727 D719 D711 D701:D703 E702 D691:D693 E692 D682 D672:D674 E673 D664 D654:D656 E655 D652 D649 D644 D641:E641 D634:D636 E635 D631 D623 D615 D607 D599 D589:D591 E590 D585 D577 D574:E574 D569 D561 D558:E558 D551:D553 E552 E975 D326:E327 D322 D312:D315 E305 D302:D307 D296 D270:D272 E271 D266 D262 D258 D255:E255 D251:E251 D248:D250 D242 D236:D240 D228 D224 D216 D215:E215 D208 D200 D192 D184 D181:D182 D168:D179 E125 D123:D134 D117:E122 D115:D116 D112:E114 D107:D111 D105:E106 D84:D104 D61:E61 E46 D23:D60 D18:E22 AO633:AO1048576 D6:D17 D142:D166 D62:D82 A832:E832 A841:D841 A852:C852 A862:C862 A889:C889 A924:C924 A934:C934 A944:C944 A954:C954 D953:D955 A960:C960 C953 C943 C933 C923 C888 C861 C851 A167:E167 C831:D831 A786:C786 A499:E499 A525:E525 A702:C702 A692:C692 A673:C673 A655:C655 A635:C635 A590:C590 A552:C552 A241:E241 A328:E328 A366:E366 A376:E376 A394:E394 A412:E412 A440:E440 A485:E485 A305:C305 A271:C271 A125:C125 A46:C46 A8:C8 A83:E83 C959 E10:E16 E23:E24 E26:E32 E34:E40 E42:E44 E48:E54 E56:E60 E62 E64:E66 E68:E70 E72:E80 E82 E85:E91 E93:E99 E101:E104 E107 E109:E111 E115 E123 E127:E133 D135:E141 E143:E149 E151:E157 E159:E165 E169:E175 E177:E183 E185:E191 E193:E199 E201:E207 E209:E214 E217:E223 E225:E227 E229:E231 E243:E249 E252:E254 E256:E257 E259:E261 E263:E269 E273:E279 E297:E303 E307:E313 E315:E321 E323:E325 D329:E365 D367:E375 D377:E393 D395:E411 D413:E439 D441:E484 D486:E498 D500:E524 D526:E533 E554:E557 E559:E560 E562:E568 E570:E573 E575:E576 E578:E584 E586:E588 E592:E598 E600:E606 E608:E614 E616:E622 E624:E630 E633 E637:E640 E642:E643 E645:E651 E653 E657:E663 E665:E671 E675:E681 E683:E689 E694:E700 E704:E710 E712:E718 E720:E726 E728:E734 E736:E742 E744:E750 E752:E758 E760:E766 E768:E774 E776 E778:E780 E782:E784 D785:E802 E804:E810 E812:E818 E822 E824 E826:E830 E834 E836:E837 E839:E841 E843:E844 E846:E847 E849 E854:E860 E864:E870 E872:E878 E880:E886 E891:E897 E899:E905 E907:E913 E915:E921 E926:E932 E936:E942 E946:E952 D956:E973 D2 D4 E236:E239 AO236:AO279 AO296:AO533 D542:E549 AO542:AO631">
    <cfRule type="cellIs" dxfId="5" priority="6" stopIfTrue="1" operator="between">
      <formula>0</formula>
      <formula>10</formula>
    </cfRule>
  </conditionalFormatting>
  <conditionalFormatting sqref="E632 AO632">
    <cfRule type="cellIs" dxfId="4" priority="5" stopIfTrue="1" operator="between">
      <formula>0</formula>
      <formula>10</formula>
    </cfRule>
  </conditionalFormatting>
  <conditionalFormatting sqref="D232:E235 AO232:AO235">
    <cfRule type="cellIs" dxfId="3" priority="4" stopIfTrue="1" operator="between">
      <formula>0</formula>
      <formula>10</formula>
    </cfRule>
  </conditionalFormatting>
  <conditionalFormatting sqref="D286:D287 D280 E281:E287 AO280:AO287">
    <cfRule type="cellIs" dxfId="2" priority="3" stopIfTrue="1" operator="between">
      <formula>0</formula>
      <formula>10</formula>
    </cfRule>
  </conditionalFormatting>
  <conditionalFormatting sqref="AO534:AO541 D534:E541">
    <cfRule type="cellIs" dxfId="1" priority="2" stopIfTrue="1" operator="between">
      <formula>0</formula>
      <formula>10</formula>
    </cfRule>
  </conditionalFormatting>
  <conditionalFormatting sqref="D294:D295 D288 E289:E295 AO288:AO295">
    <cfRule type="cellIs" dxfId="0" priority="1" stopIfTrue="1" operator="between">
      <formula>0</formula>
      <formula>10</formula>
    </cfRule>
  </conditionalFormatting>
  <printOptions horizontalCentered="1"/>
  <pageMargins left="0" right="0" top="1.1000000000000001" bottom="0.49803149600000002" header="0.31496062992126" footer="0.31496062992126"/>
  <pageSetup scale="70" orientation="portrait" r:id="rId1"/>
  <headerFooter>
    <oddHeader>&amp;C&amp;"-,Bold"&amp;14MINISTERE DE L'ECONOMIE ET DES FINANCES
ETAT DES DEPENSES DE FONCTIONNEMENT AUTORISEES 
PAR SECTION ET ARTICLE
&amp;"-,Italic"&amp;12Du 1er octobre 2018 au 30 septembre 2019</oddHeader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TEREDA_RESUME_</vt:lpstr>
      <vt:lpstr>execution_au_30-09-19</vt:lpstr>
      <vt:lpstr>'execution_au_30-09-19'!ALINEA</vt:lpstr>
      <vt:lpstr>'execution_au_30-09-19'!ANTERIEUR</vt:lpstr>
      <vt:lpstr>'execution_au_30-09-19'!LIBELLE</vt:lpstr>
      <vt:lpstr>'execution_au_30-09-19'!MENSUEL</vt:lpstr>
      <vt:lpstr>'execution_au_30-09-19'!NOVEMBRE</vt:lpstr>
      <vt:lpstr>'execution_au_30-09-19'!OCTOBRE</vt:lpstr>
      <vt:lpstr>'execution_au_30-09-19'!Print_Area</vt:lpstr>
      <vt:lpstr>TEREDA_RESUME_!Print_Area</vt:lpstr>
      <vt:lpstr>'execution_au_30-09-19'!Print_Titles</vt:lpstr>
      <vt:lpstr>'execution_au_30-09-19'!SECTITRE</vt:lpstr>
      <vt:lpstr>'execution_au_30-09-19'!TITRE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dgb_depb</dc:creator>
  <cp:lastModifiedBy>jeanmichel.silin</cp:lastModifiedBy>
  <cp:lastPrinted>2019-10-25T19:45:59Z</cp:lastPrinted>
  <dcterms:created xsi:type="dcterms:W3CDTF">2019-10-10T23:28:47Z</dcterms:created>
  <dcterms:modified xsi:type="dcterms:W3CDTF">2020-04-16T16:29:34Z</dcterms:modified>
</cp:coreProperties>
</file>