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\Dropbox\dossier_dga\DGB\dgb_site\suivi de l'execution du budget\EFFECTIF &amp; MASSE SALARIALE\"/>
    </mc:Choice>
  </mc:AlternateContent>
  <xr:revisionPtr revIDLastSave="0" documentId="13_ncr:1_{F3AB93D1-588B-427C-9C77-905783E2F2E3}" xr6:coauthVersionLast="47" xr6:coauthVersionMax="47" xr10:uidLastSave="{00000000-0000-0000-0000-000000000000}"/>
  <bookViews>
    <workbookView xWindow="-110" yWindow="-110" windowWidth="19420" windowHeight="11500" activeTab="1" xr2:uid="{5278A75F-0D13-4C61-931B-09706D8F4054}"/>
  </bookViews>
  <sheets>
    <sheet name="Comp.annuelle Sept 25 vs 26" sheetId="2" r:id="rId1"/>
    <sheet name="EV. PENS. PAR CATEGORIE (EXCEL)" sheetId="1" r:id="rId2"/>
  </sheets>
  <definedNames>
    <definedName name="_xlnm._FilterDatabase" localSheetId="0" hidden="1">'Comp.annuelle Sept 25 vs 26'!$A$7:$J$164</definedName>
    <definedName name="_xlnm.Print_Area" localSheetId="0">'Comp.annuelle Sept 25 vs 26'!$A$1:$J$166</definedName>
    <definedName name="_xlnm.Print_Titles" localSheetId="0">'Comp.annuelle Sept 25 vs 26'!$2:$7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3" i="2" l="1"/>
  <c r="I163" i="2"/>
  <c r="G163" i="2"/>
  <c r="G162" i="2" s="1"/>
  <c r="G161" i="2" s="1"/>
  <c r="E163" i="2"/>
  <c r="F163" i="2" s="1"/>
  <c r="D163" i="2"/>
  <c r="I162" i="2"/>
  <c r="H162" i="2"/>
  <c r="E162" i="2"/>
  <c r="D162" i="2"/>
  <c r="C162" i="2"/>
  <c r="H161" i="2"/>
  <c r="D161" i="2"/>
  <c r="C161" i="2"/>
  <c r="H160" i="2"/>
  <c r="H159" i="2" s="1"/>
  <c r="G160" i="2"/>
  <c r="G159" i="2" s="1"/>
  <c r="G158" i="2" s="1"/>
  <c r="E160" i="2"/>
  <c r="E159" i="2" s="1"/>
  <c r="D159" i="2"/>
  <c r="D158" i="2" s="1"/>
  <c r="C159" i="2"/>
  <c r="H158" i="2"/>
  <c r="C158" i="2"/>
  <c r="H157" i="2"/>
  <c r="H156" i="2" s="1"/>
  <c r="G157" i="2"/>
  <c r="I157" i="2" s="1"/>
  <c r="E157" i="2"/>
  <c r="E156" i="2" s="1"/>
  <c r="F156" i="2" s="1"/>
  <c r="D157" i="2"/>
  <c r="C157" i="2"/>
  <c r="G156" i="2"/>
  <c r="D156" i="2"/>
  <c r="C156" i="2"/>
  <c r="H155" i="2"/>
  <c r="G155" i="2"/>
  <c r="G154" i="2" s="1"/>
  <c r="G153" i="2" s="1"/>
  <c r="D155" i="2"/>
  <c r="C155" i="2"/>
  <c r="H154" i="2"/>
  <c r="H153" i="2" s="1"/>
  <c r="D154" i="2"/>
  <c r="C154" i="2"/>
  <c r="C153" i="2" s="1"/>
  <c r="D153" i="2"/>
  <c r="J152" i="2"/>
  <c r="I152" i="2"/>
  <c r="I151" i="2" s="1"/>
  <c r="H152" i="2"/>
  <c r="H151" i="2" s="1"/>
  <c r="H150" i="2" s="1"/>
  <c r="G152" i="2"/>
  <c r="D152" i="2"/>
  <c r="C152" i="2"/>
  <c r="C151" i="2" s="1"/>
  <c r="C150" i="2" s="1"/>
  <c r="G151" i="2"/>
  <c r="G150" i="2" s="1"/>
  <c r="G149" i="2" s="1"/>
  <c r="D151" i="2"/>
  <c r="D150" i="2" s="1"/>
  <c r="G148" i="2"/>
  <c r="I148" i="2" s="1"/>
  <c r="J148" i="2" s="1"/>
  <c r="D148" i="2"/>
  <c r="E148" i="2" s="1"/>
  <c r="F148" i="2" s="1"/>
  <c r="C148" i="2"/>
  <c r="I147" i="2"/>
  <c r="J147" i="2" s="1"/>
  <c r="H147" i="2"/>
  <c r="G147" i="2"/>
  <c r="D147" i="2"/>
  <c r="D144" i="2" s="1"/>
  <c r="D143" i="2" s="1"/>
  <c r="D142" i="2" s="1"/>
  <c r="C147" i="2"/>
  <c r="H146" i="2"/>
  <c r="I146" i="2" s="1"/>
  <c r="J146" i="2" s="1"/>
  <c r="G146" i="2"/>
  <c r="E146" i="2"/>
  <c r="F146" i="2" s="1"/>
  <c r="D146" i="2"/>
  <c r="C146" i="2"/>
  <c r="H145" i="2"/>
  <c r="H144" i="2" s="1"/>
  <c r="H143" i="2" s="1"/>
  <c r="H142" i="2" s="1"/>
  <c r="G145" i="2"/>
  <c r="G144" i="2" s="1"/>
  <c r="G143" i="2" s="1"/>
  <c r="G142" i="2" s="1"/>
  <c r="D145" i="2"/>
  <c r="E145" i="2" s="1"/>
  <c r="F145" i="2" s="1"/>
  <c r="C145" i="2"/>
  <c r="I141" i="2"/>
  <c r="J141" i="2" s="1"/>
  <c r="H141" i="2"/>
  <c r="G141" i="2"/>
  <c r="D141" i="2"/>
  <c r="E141" i="2" s="1"/>
  <c r="H140" i="2"/>
  <c r="G140" i="2"/>
  <c r="G139" i="2" s="1"/>
  <c r="E140" i="2"/>
  <c r="F140" i="2" s="1"/>
  <c r="D140" i="2"/>
  <c r="H139" i="2"/>
  <c r="D139" i="2"/>
  <c r="C139" i="2"/>
  <c r="H138" i="2"/>
  <c r="I138" i="2" s="1"/>
  <c r="G138" i="2"/>
  <c r="D138" i="2"/>
  <c r="C138" i="2"/>
  <c r="H137" i="2"/>
  <c r="G137" i="2"/>
  <c r="C137" i="2"/>
  <c r="G136" i="2"/>
  <c r="G135" i="2" s="1"/>
  <c r="I134" i="2"/>
  <c r="J134" i="2" s="1"/>
  <c r="H134" i="2"/>
  <c r="G134" i="2"/>
  <c r="D134" i="2"/>
  <c r="E134" i="2" s="1"/>
  <c r="F134" i="2" s="1"/>
  <c r="H133" i="2"/>
  <c r="I133" i="2" s="1"/>
  <c r="J133" i="2" s="1"/>
  <c r="G133" i="2"/>
  <c r="D133" i="2"/>
  <c r="E133" i="2" s="1"/>
  <c r="F133" i="2" s="1"/>
  <c r="I132" i="2"/>
  <c r="H132" i="2"/>
  <c r="G132" i="2"/>
  <c r="E132" i="2"/>
  <c r="E130" i="2" s="1"/>
  <c r="D132" i="2"/>
  <c r="C132" i="2"/>
  <c r="C130" i="2" s="1"/>
  <c r="I131" i="2"/>
  <c r="G131" i="2"/>
  <c r="G130" i="2" s="1"/>
  <c r="E131" i="2"/>
  <c r="H130" i="2"/>
  <c r="D130" i="2"/>
  <c r="H129" i="2"/>
  <c r="I129" i="2" s="1"/>
  <c r="J129" i="2" s="1"/>
  <c r="G129" i="2"/>
  <c r="D129" i="2"/>
  <c r="E129" i="2" s="1"/>
  <c r="F129" i="2" s="1"/>
  <c r="C129" i="2"/>
  <c r="H128" i="2"/>
  <c r="I128" i="2" s="1"/>
  <c r="J128" i="2" s="1"/>
  <c r="G128" i="2"/>
  <c r="D128" i="2"/>
  <c r="C128" i="2"/>
  <c r="H127" i="2"/>
  <c r="G127" i="2"/>
  <c r="I127" i="2" s="1"/>
  <c r="J127" i="2" s="1"/>
  <c r="E127" i="2"/>
  <c r="F127" i="2" s="1"/>
  <c r="D127" i="2"/>
  <c r="C127" i="2"/>
  <c r="H126" i="2"/>
  <c r="G126" i="2"/>
  <c r="E126" i="2"/>
  <c r="F126" i="2" s="1"/>
  <c r="D126" i="2"/>
  <c r="C126" i="2"/>
  <c r="H125" i="2"/>
  <c r="I125" i="2" s="1"/>
  <c r="J125" i="2" s="1"/>
  <c r="G125" i="2"/>
  <c r="D125" i="2"/>
  <c r="E125" i="2" s="1"/>
  <c r="F125" i="2" s="1"/>
  <c r="C125" i="2"/>
  <c r="I124" i="2"/>
  <c r="J124" i="2" s="1"/>
  <c r="H124" i="2"/>
  <c r="G124" i="2"/>
  <c r="D124" i="2"/>
  <c r="E124" i="2" s="1"/>
  <c r="F124" i="2" s="1"/>
  <c r="C124" i="2"/>
  <c r="H123" i="2"/>
  <c r="I123" i="2" s="1"/>
  <c r="J123" i="2" s="1"/>
  <c r="G123" i="2"/>
  <c r="D123" i="2"/>
  <c r="E123" i="2" s="1"/>
  <c r="F123" i="2" s="1"/>
  <c r="C123" i="2"/>
  <c r="H122" i="2"/>
  <c r="I122" i="2" s="1"/>
  <c r="J122" i="2" s="1"/>
  <c r="G122" i="2"/>
  <c r="E122" i="2"/>
  <c r="F122" i="2" s="1"/>
  <c r="D122" i="2"/>
  <c r="C122" i="2"/>
  <c r="H121" i="2"/>
  <c r="G121" i="2"/>
  <c r="G118" i="2" s="1"/>
  <c r="E121" i="2"/>
  <c r="F121" i="2" s="1"/>
  <c r="D121" i="2"/>
  <c r="C121" i="2"/>
  <c r="H120" i="2"/>
  <c r="I120" i="2" s="1"/>
  <c r="J120" i="2" s="1"/>
  <c r="G120" i="2"/>
  <c r="D120" i="2"/>
  <c r="C120" i="2"/>
  <c r="I119" i="2"/>
  <c r="J119" i="2" s="1"/>
  <c r="H119" i="2"/>
  <c r="G119" i="2"/>
  <c r="D119" i="2"/>
  <c r="C119" i="2"/>
  <c r="C118" i="2" s="1"/>
  <c r="H117" i="2"/>
  <c r="H115" i="2" s="1"/>
  <c r="G117" i="2"/>
  <c r="I117" i="2" s="1"/>
  <c r="J117" i="2" s="1"/>
  <c r="E117" i="2"/>
  <c r="F117" i="2" s="1"/>
  <c r="D117" i="2"/>
  <c r="C117" i="2"/>
  <c r="I116" i="2"/>
  <c r="E116" i="2"/>
  <c r="G115" i="2"/>
  <c r="D115" i="2"/>
  <c r="C115" i="2"/>
  <c r="I113" i="2"/>
  <c r="J113" i="2" s="1"/>
  <c r="H113" i="2"/>
  <c r="G113" i="2"/>
  <c r="D113" i="2"/>
  <c r="C113" i="2"/>
  <c r="H112" i="2"/>
  <c r="G112" i="2"/>
  <c r="D112" i="2"/>
  <c r="D111" i="2" s="1"/>
  <c r="C112" i="2"/>
  <c r="C111" i="2" s="1"/>
  <c r="H111" i="2"/>
  <c r="G111" i="2"/>
  <c r="H110" i="2"/>
  <c r="I110" i="2" s="1"/>
  <c r="J110" i="2" s="1"/>
  <c r="G110" i="2"/>
  <c r="G108" i="2" s="1"/>
  <c r="D110" i="2"/>
  <c r="C110" i="2"/>
  <c r="E110" i="2" s="1"/>
  <c r="F110" i="2" s="1"/>
  <c r="H109" i="2"/>
  <c r="G109" i="2"/>
  <c r="D109" i="2"/>
  <c r="C109" i="2"/>
  <c r="C108" i="2" s="1"/>
  <c r="D108" i="2"/>
  <c r="H107" i="2"/>
  <c r="I107" i="2" s="1"/>
  <c r="J107" i="2" s="1"/>
  <c r="G107" i="2"/>
  <c r="D107" i="2"/>
  <c r="E107" i="2" s="1"/>
  <c r="C107" i="2"/>
  <c r="H106" i="2"/>
  <c r="G106" i="2"/>
  <c r="I106" i="2" s="1"/>
  <c r="J106" i="2" s="1"/>
  <c r="D106" i="2"/>
  <c r="E106" i="2" s="1"/>
  <c r="F106" i="2" s="1"/>
  <c r="C106" i="2"/>
  <c r="H105" i="2"/>
  <c r="H104" i="2" s="1"/>
  <c r="G105" i="2"/>
  <c r="D105" i="2"/>
  <c r="C105" i="2"/>
  <c r="D104" i="2"/>
  <c r="H103" i="2"/>
  <c r="G103" i="2"/>
  <c r="I103" i="2" s="1"/>
  <c r="J103" i="2" s="1"/>
  <c r="D103" i="2"/>
  <c r="E103" i="2" s="1"/>
  <c r="F103" i="2" s="1"/>
  <c r="H102" i="2"/>
  <c r="G102" i="2"/>
  <c r="E102" i="2"/>
  <c r="F102" i="2" s="1"/>
  <c r="D102" i="2"/>
  <c r="C102" i="2"/>
  <c r="I101" i="2"/>
  <c r="J101" i="2" s="1"/>
  <c r="H101" i="2"/>
  <c r="G101" i="2"/>
  <c r="D101" i="2"/>
  <c r="C101" i="2"/>
  <c r="I100" i="2"/>
  <c r="J100" i="2" s="1"/>
  <c r="H100" i="2"/>
  <c r="G100" i="2"/>
  <c r="E100" i="2"/>
  <c r="F100" i="2" s="1"/>
  <c r="D100" i="2"/>
  <c r="C100" i="2"/>
  <c r="H99" i="2"/>
  <c r="H97" i="2" s="1"/>
  <c r="G99" i="2"/>
  <c r="E99" i="2"/>
  <c r="F99" i="2" s="1"/>
  <c r="D99" i="2"/>
  <c r="C99" i="2"/>
  <c r="I98" i="2"/>
  <c r="H98" i="2"/>
  <c r="G98" i="2"/>
  <c r="D98" i="2"/>
  <c r="E98" i="2" s="1"/>
  <c r="C98" i="2"/>
  <c r="D97" i="2"/>
  <c r="H96" i="2"/>
  <c r="G96" i="2"/>
  <c r="E96" i="2"/>
  <c r="F96" i="2" s="1"/>
  <c r="D96" i="2"/>
  <c r="C96" i="2"/>
  <c r="H95" i="2"/>
  <c r="I95" i="2" s="1"/>
  <c r="J95" i="2" s="1"/>
  <c r="G95" i="2"/>
  <c r="D95" i="2"/>
  <c r="D91" i="2" s="1"/>
  <c r="C95" i="2"/>
  <c r="C91" i="2" s="1"/>
  <c r="I94" i="2"/>
  <c r="J94" i="2" s="1"/>
  <c r="H94" i="2"/>
  <c r="G94" i="2"/>
  <c r="D94" i="2"/>
  <c r="E94" i="2" s="1"/>
  <c r="F94" i="2" s="1"/>
  <c r="C94" i="2"/>
  <c r="H93" i="2"/>
  <c r="G93" i="2"/>
  <c r="E93" i="2"/>
  <c r="F93" i="2" s="1"/>
  <c r="D93" i="2"/>
  <c r="C93" i="2"/>
  <c r="H92" i="2"/>
  <c r="G92" i="2"/>
  <c r="D92" i="2"/>
  <c r="C92" i="2"/>
  <c r="H89" i="2"/>
  <c r="I89" i="2" s="1"/>
  <c r="J89" i="2" s="1"/>
  <c r="G89" i="2"/>
  <c r="D89" i="2"/>
  <c r="E89" i="2" s="1"/>
  <c r="F89" i="2" s="1"/>
  <c r="C89" i="2"/>
  <c r="H88" i="2"/>
  <c r="H86" i="2" s="1"/>
  <c r="G88" i="2"/>
  <c r="D88" i="2"/>
  <c r="C88" i="2"/>
  <c r="C86" i="2" s="1"/>
  <c r="H87" i="2"/>
  <c r="I87" i="2" s="1"/>
  <c r="J87" i="2" s="1"/>
  <c r="G87" i="2"/>
  <c r="E87" i="2"/>
  <c r="D87" i="2"/>
  <c r="D86" i="2" s="1"/>
  <c r="C87" i="2"/>
  <c r="G86" i="2"/>
  <c r="H85" i="2"/>
  <c r="H82" i="2" s="1"/>
  <c r="G85" i="2"/>
  <c r="D85" i="2"/>
  <c r="E85" i="2" s="1"/>
  <c r="F85" i="2" s="1"/>
  <c r="C85" i="2"/>
  <c r="C82" i="2" s="1"/>
  <c r="H84" i="2"/>
  <c r="I84" i="2" s="1"/>
  <c r="J84" i="2" s="1"/>
  <c r="G84" i="2"/>
  <c r="D84" i="2"/>
  <c r="D82" i="2" s="1"/>
  <c r="C84" i="2"/>
  <c r="H83" i="2"/>
  <c r="G83" i="2"/>
  <c r="G82" i="2" s="1"/>
  <c r="D83" i="2"/>
  <c r="E83" i="2" s="1"/>
  <c r="F83" i="2" s="1"/>
  <c r="C83" i="2"/>
  <c r="I81" i="2"/>
  <c r="J81" i="2" s="1"/>
  <c r="G81" i="2"/>
  <c r="D81" i="2"/>
  <c r="E81" i="2" s="1"/>
  <c r="F81" i="2" s="1"/>
  <c r="I80" i="2"/>
  <c r="J80" i="2" s="1"/>
  <c r="E80" i="2"/>
  <c r="F80" i="2" s="1"/>
  <c r="D80" i="2"/>
  <c r="H79" i="2"/>
  <c r="I79" i="2" s="1"/>
  <c r="J79" i="2" s="1"/>
  <c r="D79" i="2"/>
  <c r="E79" i="2" s="1"/>
  <c r="F79" i="2" s="1"/>
  <c r="I78" i="2"/>
  <c r="J78" i="2" s="1"/>
  <c r="H78" i="2"/>
  <c r="G78" i="2"/>
  <c r="D78" i="2"/>
  <c r="C78" i="2"/>
  <c r="G77" i="2"/>
  <c r="I77" i="2" s="1"/>
  <c r="J77" i="2" s="1"/>
  <c r="D77" i="2"/>
  <c r="E77" i="2" s="1"/>
  <c r="F77" i="2" s="1"/>
  <c r="I76" i="2"/>
  <c r="J76" i="2" s="1"/>
  <c r="H76" i="2"/>
  <c r="G76" i="2"/>
  <c r="D76" i="2"/>
  <c r="C76" i="2"/>
  <c r="C72" i="2" s="1"/>
  <c r="H75" i="2"/>
  <c r="G75" i="2"/>
  <c r="D75" i="2"/>
  <c r="E75" i="2" s="1"/>
  <c r="F75" i="2" s="1"/>
  <c r="C75" i="2"/>
  <c r="H74" i="2"/>
  <c r="G74" i="2"/>
  <c r="C74" i="2"/>
  <c r="E74" i="2" s="1"/>
  <c r="F74" i="2" s="1"/>
  <c r="H73" i="2"/>
  <c r="G73" i="2"/>
  <c r="E73" i="2"/>
  <c r="F73" i="2" s="1"/>
  <c r="D73" i="2"/>
  <c r="C73" i="2"/>
  <c r="H72" i="2"/>
  <c r="I71" i="2"/>
  <c r="J71" i="2" s="1"/>
  <c r="H71" i="2"/>
  <c r="G71" i="2"/>
  <c r="D71" i="2"/>
  <c r="C71" i="2"/>
  <c r="H70" i="2"/>
  <c r="G70" i="2"/>
  <c r="D70" i="2"/>
  <c r="D69" i="2" s="1"/>
  <c r="C70" i="2"/>
  <c r="H69" i="2"/>
  <c r="G69" i="2"/>
  <c r="H68" i="2"/>
  <c r="I68" i="2" s="1"/>
  <c r="J68" i="2" s="1"/>
  <c r="G68" i="2"/>
  <c r="G66" i="2" s="1"/>
  <c r="D68" i="2"/>
  <c r="C68" i="2"/>
  <c r="E68" i="2" s="1"/>
  <c r="F68" i="2" s="1"/>
  <c r="H67" i="2"/>
  <c r="G67" i="2"/>
  <c r="D67" i="2"/>
  <c r="C67" i="2"/>
  <c r="D66" i="2"/>
  <c r="H65" i="2"/>
  <c r="G65" i="2"/>
  <c r="E65" i="2"/>
  <c r="F65" i="2" s="1"/>
  <c r="D65" i="2"/>
  <c r="D63" i="2" s="1"/>
  <c r="C65" i="2"/>
  <c r="H64" i="2"/>
  <c r="G64" i="2"/>
  <c r="D64" i="2"/>
  <c r="E64" i="2" s="1"/>
  <c r="F64" i="2" s="1"/>
  <c r="C64" i="2"/>
  <c r="H63" i="2"/>
  <c r="C63" i="2"/>
  <c r="I62" i="2"/>
  <c r="J62" i="2" s="1"/>
  <c r="H62" i="2"/>
  <c r="G62" i="2"/>
  <c r="D62" i="2"/>
  <c r="E62" i="2" s="1"/>
  <c r="F62" i="2" s="1"/>
  <c r="C62" i="2"/>
  <c r="I61" i="2"/>
  <c r="H61" i="2"/>
  <c r="G61" i="2"/>
  <c r="D61" i="2"/>
  <c r="E61" i="2" s="1"/>
  <c r="H60" i="2"/>
  <c r="I60" i="2" s="1"/>
  <c r="J60" i="2" s="1"/>
  <c r="G60" i="2"/>
  <c r="D60" i="2"/>
  <c r="E60" i="2" s="1"/>
  <c r="F60" i="2" s="1"/>
  <c r="I59" i="2"/>
  <c r="G59" i="2"/>
  <c r="C59" i="2"/>
  <c r="E59" i="2" s="1"/>
  <c r="F59" i="2" s="1"/>
  <c r="H58" i="2"/>
  <c r="I58" i="2" s="1"/>
  <c r="J58" i="2" s="1"/>
  <c r="D58" i="2"/>
  <c r="E58" i="2" s="1"/>
  <c r="F58" i="2" s="1"/>
  <c r="I57" i="2"/>
  <c r="J57" i="2" s="1"/>
  <c r="H57" i="2"/>
  <c r="G57" i="2"/>
  <c r="D57" i="2"/>
  <c r="E57" i="2" s="1"/>
  <c r="F57" i="2" s="1"/>
  <c r="C57" i="2"/>
  <c r="H56" i="2"/>
  <c r="G56" i="2"/>
  <c r="G55" i="2" s="1"/>
  <c r="E56" i="2"/>
  <c r="F56" i="2" s="1"/>
  <c r="D56" i="2"/>
  <c r="C56" i="2"/>
  <c r="H53" i="2"/>
  <c r="G53" i="2"/>
  <c r="E53" i="2"/>
  <c r="F53" i="2" s="1"/>
  <c r="D53" i="2"/>
  <c r="C53" i="2"/>
  <c r="H52" i="2"/>
  <c r="H50" i="2" s="1"/>
  <c r="G52" i="2"/>
  <c r="G50" i="2" s="1"/>
  <c r="D52" i="2"/>
  <c r="C52" i="2"/>
  <c r="I51" i="2"/>
  <c r="J51" i="2" s="1"/>
  <c r="H51" i="2"/>
  <c r="G51" i="2"/>
  <c r="D51" i="2"/>
  <c r="D50" i="2" s="1"/>
  <c r="C51" i="2"/>
  <c r="H49" i="2"/>
  <c r="G49" i="2"/>
  <c r="D49" i="2"/>
  <c r="E49" i="2" s="1"/>
  <c r="F49" i="2" s="1"/>
  <c r="C49" i="2"/>
  <c r="I48" i="2"/>
  <c r="J48" i="2" s="1"/>
  <c r="H48" i="2"/>
  <c r="G48" i="2"/>
  <c r="D48" i="2"/>
  <c r="C48" i="2"/>
  <c r="H47" i="2"/>
  <c r="I47" i="2" s="1"/>
  <c r="J47" i="2" s="1"/>
  <c r="G47" i="2"/>
  <c r="E47" i="2"/>
  <c r="F47" i="2" s="1"/>
  <c r="D47" i="2"/>
  <c r="C47" i="2"/>
  <c r="H46" i="2"/>
  <c r="G46" i="2"/>
  <c r="D46" i="2"/>
  <c r="E46" i="2" s="1"/>
  <c r="C46" i="2"/>
  <c r="G45" i="2"/>
  <c r="C45" i="2"/>
  <c r="I44" i="2"/>
  <c r="J44" i="2" s="1"/>
  <c r="H44" i="2"/>
  <c r="G44" i="2"/>
  <c r="E44" i="2"/>
  <c r="F44" i="2" s="1"/>
  <c r="D44" i="2"/>
  <c r="C44" i="2"/>
  <c r="H43" i="2"/>
  <c r="G43" i="2"/>
  <c r="I43" i="2" s="1"/>
  <c r="J43" i="2" s="1"/>
  <c r="E43" i="2"/>
  <c r="F43" i="2" s="1"/>
  <c r="D43" i="2"/>
  <c r="C43" i="2"/>
  <c r="I42" i="2"/>
  <c r="J42" i="2" s="1"/>
  <c r="H42" i="2"/>
  <c r="G42" i="2"/>
  <c r="D42" i="2"/>
  <c r="D40" i="2" s="1"/>
  <c r="C42" i="2"/>
  <c r="E42" i="2" s="1"/>
  <c r="F42" i="2" s="1"/>
  <c r="I41" i="2"/>
  <c r="J41" i="2" s="1"/>
  <c r="H41" i="2"/>
  <c r="G41" i="2"/>
  <c r="D41" i="2"/>
  <c r="C41" i="2"/>
  <c r="C40" i="2" s="1"/>
  <c r="H40" i="2"/>
  <c r="H39" i="2"/>
  <c r="G39" i="2"/>
  <c r="I39" i="2" s="1"/>
  <c r="J39" i="2" s="1"/>
  <c r="D39" i="2"/>
  <c r="C39" i="2"/>
  <c r="E39" i="2" s="1"/>
  <c r="F39" i="2" s="1"/>
  <c r="I38" i="2"/>
  <c r="J38" i="2" s="1"/>
  <c r="H38" i="2"/>
  <c r="G38" i="2"/>
  <c r="D38" i="2"/>
  <c r="C38" i="2"/>
  <c r="E38" i="2" s="1"/>
  <c r="F38" i="2" s="1"/>
  <c r="H37" i="2"/>
  <c r="G37" i="2"/>
  <c r="I37" i="2" s="1"/>
  <c r="J37" i="2" s="1"/>
  <c r="E37" i="2"/>
  <c r="F37" i="2" s="1"/>
  <c r="D37" i="2"/>
  <c r="G36" i="2"/>
  <c r="I36" i="2" s="1"/>
  <c r="J36" i="2" s="1"/>
  <c r="D36" i="2"/>
  <c r="E36" i="2" s="1"/>
  <c r="F36" i="2" s="1"/>
  <c r="C36" i="2"/>
  <c r="G35" i="2"/>
  <c r="I35" i="2" s="1"/>
  <c r="J35" i="2" s="1"/>
  <c r="E35" i="2"/>
  <c r="F35" i="2" s="1"/>
  <c r="D35" i="2"/>
  <c r="H34" i="2"/>
  <c r="G34" i="2"/>
  <c r="I34" i="2" s="1"/>
  <c r="J34" i="2" s="1"/>
  <c r="E34" i="2"/>
  <c r="F34" i="2" s="1"/>
  <c r="D34" i="2"/>
  <c r="C34" i="2"/>
  <c r="H33" i="2"/>
  <c r="I33" i="2" s="1"/>
  <c r="J33" i="2" s="1"/>
  <c r="G33" i="2"/>
  <c r="D33" i="2"/>
  <c r="C33" i="2"/>
  <c r="I32" i="2"/>
  <c r="H32" i="2"/>
  <c r="G32" i="2"/>
  <c r="D32" i="2"/>
  <c r="E32" i="2" s="1"/>
  <c r="C32" i="2"/>
  <c r="D31" i="2"/>
  <c r="H30" i="2"/>
  <c r="G30" i="2"/>
  <c r="E30" i="2"/>
  <c r="D30" i="2"/>
  <c r="H29" i="2"/>
  <c r="G29" i="2"/>
  <c r="D29" i="2"/>
  <c r="E29" i="2" s="1"/>
  <c r="F29" i="2" s="1"/>
  <c r="C29" i="2"/>
  <c r="H28" i="2"/>
  <c r="I28" i="2" s="1"/>
  <c r="J28" i="2" s="1"/>
  <c r="G28" i="2"/>
  <c r="D28" i="2"/>
  <c r="C28" i="2"/>
  <c r="H27" i="2"/>
  <c r="G27" i="2"/>
  <c r="G25" i="2" s="1"/>
  <c r="D27" i="2"/>
  <c r="C27" i="2"/>
  <c r="H26" i="2"/>
  <c r="G26" i="2"/>
  <c r="D26" i="2"/>
  <c r="D25" i="2" s="1"/>
  <c r="C26" i="2"/>
  <c r="C25" i="2" s="1"/>
  <c r="H24" i="2"/>
  <c r="G24" i="2"/>
  <c r="E24" i="2"/>
  <c r="F24" i="2" s="1"/>
  <c r="D24" i="2"/>
  <c r="C24" i="2"/>
  <c r="H23" i="2"/>
  <c r="G23" i="2"/>
  <c r="D23" i="2"/>
  <c r="C23" i="2"/>
  <c r="H22" i="2"/>
  <c r="I22" i="2" s="1"/>
  <c r="J22" i="2" s="1"/>
  <c r="G22" i="2"/>
  <c r="D22" i="2"/>
  <c r="C22" i="2"/>
  <c r="H21" i="2"/>
  <c r="I21" i="2" s="1"/>
  <c r="J21" i="2" s="1"/>
  <c r="G21" i="2"/>
  <c r="D21" i="2"/>
  <c r="E21" i="2" s="1"/>
  <c r="F21" i="2" s="1"/>
  <c r="C21" i="2"/>
  <c r="H20" i="2"/>
  <c r="G20" i="2"/>
  <c r="E20" i="2"/>
  <c r="F20" i="2" s="1"/>
  <c r="D20" i="2"/>
  <c r="C20" i="2"/>
  <c r="H19" i="2"/>
  <c r="I19" i="2" s="1"/>
  <c r="J19" i="2" s="1"/>
  <c r="G19" i="2"/>
  <c r="G16" i="2" s="1"/>
  <c r="D19" i="2"/>
  <c r="E19" i="2" s="1"/>
  <c r="F19" i="2" s="1"/>
  <c r="C19" i="2"/>
  <c r="H18" i="2"/>
  <c r="I18" i="2" s="1"/>
  <c r="J18" i="2" s="1"/>
  <c r="G18" i="2"/>
  <c r="D18" i="2"/>
  <c r="D16" i="2" s="1"/>
  <c r="C18" i="2"/>
  <c r="C16" i="2" s="1"/>
  <c r="H17" i="2"/>
  <c r="G17" i="2"/>
  <c r="D17" i="2"/>
  <c r="E17" i="2" s="1"/>
  <c r="C17" i="2"/>
  <c r="H15" i="2"/>
  <c r="G15" i="2"/>
  <c r="D15" i="2"/>
  <c r="E15" i="2" s="1"/>
  <c r="F15" i="2" s="1"/>
  <c r="C15" i="2"/>
  <c r="H14" i="2"/>
  <c r="G14" i="2"/>
  <c r="D14" i="2"/>
  <c r="C14" i="2"/>
  <c r="E14" i="2" s="1"/>
  <c r="F14" i="2" s="1"/>
  <c r="I13" i="2"/>
  <c r="J13" i="2" s="1"/>
  <c r="H13" i="2"/>
  <c r="G13" i="2"/>
  <c r="D13" i="2"/>
  <c r="C13" i="2"/>
  <c r="H12" i="2"/>
  <c r="I12" i="2" s="1"/>
  <c r="J12" i="2" s="1"/>
  <c r="G12" i="2"/>
  <c r="D12" i="2"/>
  <c r="E12" i="2" s="1"/>
  <c r="F12" i="2" s="1"/>
  <c r="C12" i="2"/>
  <c r="H11" i="2"/>
  <c r="G11" i="2"/>
  <c r="G10" i="2" s="1"/>
  <c r="E11" i="2"/>
  <c r="F11" i="2" s="1"/>
  <c r="D11" i="2"/>
  <c r="C11" i="2"/>
  <c r="F130" i="2" l="1"/>
  <c r="D90" i="2"/>
  <c r="C114" i="2"/>
  <c r="I130" i="2"/>
  <c r="J130" i="2" s="1"/>
  <c r="H136" i="2"/>
  <c r="H135" i="2" s="1"/>
  <c r="E115" i="2"/>
  <c r="H149" i="2"/>
  <c r="C136" i="2"/>
  <c r="C135" i="2" s="1"/>
  <c r="G114" i="2"/>
  <c r="F17" i="2"/>
  <c r="F141" i="2"/>
  <c r="E139" i="2"/>
  <c r="F139" i="2" s="1"/>
  <c r="F98" i="2"/>
  <c r="F32" i="2"/>
  <c r="E55" i="2"/>
  <c r="E70" i="2"/>
  <c r="E101" i="2"/>
  <c r="F101" i="2" s="1"/>
  <c r="F160" i="2"/>
  <c r="I31" i="2"/>
  <c r="E41" i="2"/>
  <c r="C97" i="2"/>
  <c r="C90" i="2" s="1"/>
  <c r="I30" i="2"/>
  <c r="J32" i="2"/>
  <c r="D72" i="2"/>
  <c r="I85" i="2"/>
  <c r="J85" i="2" s="1"/>
  <c r="E112" i="2"/>
  <c r="I15" i="2"/>
  <c r="J15" i="2" s="1"/>
  <c r="E33" i="2"/>
  <c r="F33" i="2" s="1"/>
  <c r="C31" i="2"/>
  <c r="I49" i="2"/>
  <c r="J49" i="2" s="1"/>
  <c r="I56" i="2"/>
  <c r="I75" i="2"/>
  <c r="J75" i="2" s="1"/>
  <c r="J132" i="2"/>
  <c r="E22" i="2"/>
  <c r="F22" i="2" s="1"/>
  <c r="C55" i="2"/>
  <c r="G72" i="2"/>
  <c r="E84" i="2"/>
  <c r="F84" i="2" s="1"/>
  <c r="I88" i="2"/>
  <c r="J88" i="2" s="1"/>
  <c r="E48" i="2"/>
  <c r="F48" i="2" s="1"/>
  <c r="D45" i="2"/>
  <c r="D55" i="2"/>
  <c r="D54" i="2" s="1"/>
  <c r="H118" i="2"/>
  <c r="H114" i="2" s="1"/>
  <c r="I137" i="2"/>
  <c r="J138" i="2"/>
  <c r="I23" i="2"/>
  <c r="J23" i="2" s="1"/>
  <c r="I67" i="2"/>
  <c r="H66" i="2"/>
  <c r="E95" i="2"/>
  <c r="F95" i="2" s="1"/>
  <c r="E109" i="2"/>
  <c r="E26" i="2"/>
  <c r="I83" i="2"/>
  <c r="E88" i="2"/>
  <c r="F88" i="2" s="1"/>
  <c r="I99" i="2"/>
  <c r="J99" i="2" s="1"/>
  <c r="C149" i="2"/>
  <c r="E18" i="2"/>
  <c r="F18" i="2" s="1"/>
  <c r="E52" i="2"/>
  <c r="F52" i="2" s="1"/>
  <c r="I109" i="2"/>
  <c r="H108" i="2"/>
  <c r="I65" i="2"/>
  <c r="J65" i="2" s="1"/>
  <c r="C66" i="2"/>
  <c r="E71" i="2"/>
  <c r="F71" i="2" s="1"/>
  <c r="E76" i="2"/>
  <c r="F76" i="2" s="1"/>
  <c r="G31" i="2"/>
  <c r="G9" i="2" s="1"/>
  <c r="I52" i="2"/>
  <c r="J52" i="2" s="1"/>
  <c r="I73" i="2"/>
  <c r="C104" i="2"/>
  <c r="E105" i="2"/>
  <c r="E113" i="2"/>
  <c r="F113" i="2" s="1"/>
  <c r="E128" i="2"/>
  <c r="F128" i="2" s="1"/>
  <c r="I150" i="2"/>
  <c r="J151" i="2"/>
  <c r="I155" i="2"/>
  <c r="H10" i="2"/>
  <c r="I24" i="2"/>
  <c r="J24" i="2" s="1"/>
  <c r="E27" i="2"/>
  <c r="F27" i="2" s="1"/>
  <c r="F46" i="2"/>
  <c r="C50" i="2"/>
  <c r="H55" i="2"/>
  <c r="E63" i="2"/>
  <c r="F63" i="2" s="1"/>
  <c r="E92" i="2"/>
  <c r="J98" i="2"/>
  <c r="I121" i="2"/>
  <c r="J121" i="2" s="1"/>
  <c r="E13" i="2"/>
  <c r="F13" i="2" s="1"/>
  <c r="E152" i="2"/>
  <c r="G40" i="2"/>
  <c r="G104" i="2"/>
  <c r="F162" i="2"/>
  <c r="F157" i="2"/>
  <c r="I40" i="2"/>
  <c r="F115" i="2"/>
  <c r="C10" i="2"/>
  <c r="I14" i="2"/>
  <c r="J14" i="2" s="1"/>
  <c r="H25" i="2"/>
  <c r="H45" i="2"/>
  <c r="I46" i="2"/>
  <c r="E51" i="2"/>
  <c r="G63" i="2"/>
  <c r="G54" i="2" s="1"/>
  <c r="F87" i="2"/>
  <c r="H91" i="2"/>
  <c r="E138" i="2"/>
  <c r="D137" i="2"/>
  <c r="D136" i="2" s="1"/>
  <c r="D135" i="2" s="1"/>
  <c r="D10" i="2"/>
  <c r="D9" i="2" s="1"/>
  <c r="E23" i="2"/>
  <c r="F23" i="2" s="1"/>
  <c r="I27" i="2"/>
  <c r="J27" i="2" s="1"/>
  <c r="I64" i="2"/>
  <c r="E67" i="2"/>
  <c r="C69" i="2"/>
  <c r="I74" i="2"/>
  <c r="J74" i="2" s="1"/>
  <c r="I92" i="2"/>
  <c r="I96" i="2"/>
  <c r="J96" i="2" s="1"/>
  <c r="I102" i="2"/>
  <c r="J102" i="2" s="1"/>
  <c r="I105" i="2"/>
  <c r="E120" i="2"/>
  <c r="F120" i="2" s="1"/>
  <c r="I126" i="2"/>
  <c r="J126" i="2" s="1"/>
  <c r="C144" i="2"/>
  <c r="C143" i="2" s="1"/>
  <c r="C142" i="2" s="1"/>
  <c r="D149" i="2"/>
  <c r="J162" i="2"/>
  <c r="I161" i="2"/>
  <c r="J161" i="2" s="1"/>
  <c r="E158" i="2"/>
  <c r="F158" i="2" s="1"/>
  <c r="F159" i="2"/>
  <c r="I17" i="2"/>
  <c r="H16" i="2"/>
  <c r="E82" i="2"/>
  <c r="F82" i="2" s="1"/>
  <c r="I53" i="2"/>
  <c r="J53" i="2" s="1"/>
  <c r="E78" i="2"/>
  <c r="F78" i="2" s="1"/>
  <c r="I93" i="2"/>
  <c r="J93" i="2" s="1"/>
  <c r="D118" i="2"/>
  <c r="D114" i="2" s="1"/>
  <c r="E119" i="2"/>
  <c r="I156" i="2"/>
  <c r="J156" i="2" s="1"/>
  <c r="J157" i="2"/>
  <c r="E161" i="2"/>
  <c r="F161" i="2" s="1"/>
  <c r="I20" i="2"/>
  <c r="J20" i="2" s="1"/>
  <c r="I145" i="2"/>
  <c r="E147" i="2"/>
  <c r="F147" i="2" s="1"/>
  <c r="H31" i="2"/>
  <c r="I140" i="2"/>
  <c r="E72" i="2"/>
  <c r="F72" i="2" s="1"/>
  <c r="I115" i="2"/>
  <c r="F132" i="2"/>
  <c r="I11" i="2"/>
  <c r="I29" i="2"/>
  <c r="J29" i="2" s="1"/>
  <c r="E28" i="2"/>
  <c r="F28" i="2" s="1"/>
  <c r="I70" i="2"/>
  <c r="G97" i="2"/>
  <c r="I112" i="2"/>
  <c r="E155" i="2"/>
  <c r="I160" i="2"/>
  <c r="I26" i="2"/>
  <c r="G91" i="2"/>
  <c r="E31" i="2" l="1"/>
  <c r="F31" i="2" s="1"/>
  <c r="G90" i="2"/>
  <c r="G8" i="2" s="1"/>
  <c r="G164" i="2" s="1"/>
  <c r="I97" i="2"/>
  <c r="J97" i="2" s="1"/>
  <c r="J31" i="2"/>
  <c r="F92" i="2"/>
  <c r="E91" i="2"/>
  <c r="I16" i="2"/>
  <c r="J16" i="2" s="1"/>
  <c r="J17" i="2"/>
  <c r="F138" i="2"/>
  <c r="E137" i="2"/>
  <c r="J40" i="2"/>
  <c r="F105" i="2"/>
  <c r="E104" i="2"/>
  <c r="F104" i="2" s="1"/>
  <c r="I108" i="2"/>
  <c r="J108" i="2" s="1"/>
  <c r="J109" i="2"/>
  <c r="I66" i="2"/>
  <c r="J66" i="2" s="1"/>
  <c r="J67" i="2"/>
  <c r="F155" i="2"/>
  <c r="E154" i="2"/>
  <c r="E111" i="2"/>
  <c r="F111" i="2" s="1"/>
  <c r="F112" i="2"/>
  <c r="J112" i="2"/>
  <c r="I111" i="2"/>
  <c r="J111" i="2" s="1"/>
  <c r="J145" i="2"/>
  <c r="I144" i="2"/>
  <c r="I104" i="2"/>
  <c r="J104" i="2" s="1"/>
  <c r="J105" i="2"/>
  <c r="J70" i="2"/>
  <c r="I69" i="2"/>
  <c r="J69" i="2" s="1"/>
  <c r="I86" i="2"/>
  <c r="J86" i="2" s="1"/>
  <c r="H90" i="2"/>
  <c r="H54" i="2"/>
  <c r="I50" i="2"/>
  <c r="J50" i="2" s="1"/>
  <c r="C54" i="2"/>
  <c r="E97" i="2"/>
  <c r="F97" i="2" s="1"/>
  <c r="J73" i="2"/>
  <c r="I72" i="2"/>
  <c r="J72" i="2" s="1"/>
  <c r="I91" i="2"/>
  <c r="J92" i="2"/>
  <c r="J11" i="2"/>
  <c r="I10" i="2"/>
  <c r="E144" i="2"/>
  <c r="F51" i="2"/>
  <c r="E50" i="2"/>
  <c r="F50" i="2" s="1"/>
  <c r="E86" i="2"/>
  <c r="F86" i="2" s="1"/>
  <c r="J137" i="2"/>
  <c r="F41" i="2"/>
  <c r="E40" i="2"/>
  <c r="F40" i="2" s="1"/>
  <c r="F119" i="2"/>
  <c r="E118" i="2"/>
  <c r="E66" i="2"/>
  <c r="F66" i="2" s="1"/>
  <c r="F67" i="2"/>
  <c r="J46" i="2"/>
  <c r="I45" i="2"/>
  <c r="J45" i="2" s="1"/>
  <c r="E45" i="2"/>
  <c r="F45" i="2" s="1"/>
  <c r="E10" i="2"/>
  <c r="J56" i="2"/>
  <c r="I55" i="2"/>
  <c r="J115" i="2"/>
  <c r="J64" i="2"/>
  <c r="I63" i="2"/>
  <c r="J63" i="2" s="1"/>
  <c r="F152" i="2"/>
  <c r="E151" i="2"/>
  <c r="H9" i="2"/>
  <c r="J83" i="2"/>
  <c r="I82" i="2"/>
  <c r="J82" i="2" s="1"/>
  <c r="J155" i="2"/>
  <c r="I154" i="2"/>
  <c r="E25" i="2"/>
  <c r="F25" i="2" s="1"/>
  <c r="F26" i="2"/>
  <c r="I25" i="2"/>
  <c r="J25" i="2" s="1"/>
  <c r="J26" i="2"/>
  <c r="I139" i="2"/>
  <c r="J139" i="2" s="1"/>
  <c r="J140" i="2"/>
  <c r="E108" i="2"/>
  <c r="F108" i="2" s="1"/>
  <c r="F109" i="2"/>
  <c r="E69" i="2"/>
  <c r="F69" i="2" s="1"/>
  <c r="F70" i="2"/>
  <c r="E16" i="2"/>
  <c r="F16" i="2" s="1"/>
  <c r="I159" i="2"/>
  <c r="J160" i="2"/>
  <c r="D8" i="2"/>
  <c r="D164" i="2" s="1"/>
  <c r="C9" i="2"/>
  <c r="C8" i="2" s="1"/>
  <c r="C164" i="2" s="1"/>
  <c r="I118" i="2"/>
  <c r="J118" i="2" s="1"/>
  <c r="J150" i="2"/>
  <c r="F55" i="2"/>
  <c r="H8" i="2" l="1"/>
  <c r="H164" i="2" s="1"/>
  <c r="I136" i="2"/>
  <c r="J136" i="2" s="1"/>
  <c r="I90" i="2"/>
  <c r="J90" i="2" s="1"/>
  <c r="J91" i="2"/>
  <c r="I114" i="2"/>
  <c r="J114" i="2" s="1"/>
  <c r="F118" i="2"/>
  <c r="E114" i="2"/>
  <c r="F114" i="2" s="1"/>
  <c r="J144" i="2"/>
  <c r="I143" i="2"/>
  <c r="I54" i="2"/>
  <c r="J54" i="2" s="1"/>
  <c r="J55" i="2"/>
  <c r="I158" i="2"/>
  <c r="J158" i="2" s="1"/>
  <c r="J159" i="2"/>
  <c r="I153" i="2"/>
  <c r="J154" i="2"/>
  <c r="I135" i="2"/>
  <c r="J135" i="2" s="1"/>
  <c r="F10" i="2"/>
  <c r="E9" i="2"/>
  <c r="E136" i="2"/>
  <c r="F137" i="2"/>
  <c r="E54" i="2"/>
  <c r="F54" i="2" s="1"/>
  <c r="E143" i="2"/>
  <c r="F144" i="2"/>
  <c r="E153" i="2"/>
  <c r="F153" i="2" s="1"/>
  <c r="F154" i="2"/>
  <c r="F151" i="2"/>
  <c r="E150" i="2"/>
  <c r="J10" i="2"/>
  <c r="I9" i="2"/>
  <c r="F91" i="2"/>
  <c r="E90" i="2"/>
  <c r="F90" i="2" s="1"/>
  <c r="F143" i="2" l="1"/>
  <c r="E142" i="2"/>
  <c r="F142" i="2" s="1"/>
  <c r="J143" i="2"/>
  <c r="I142" i="2"/>
  <c r="J142" i="2" s="1"/>
  <c r="E135" i="2"/>
  <c r="F135" i="2" s="1"/>
  <c r="F136" i="2"/>
  <c r="E8" i="2"/>
  <c r="F8" i="2" s="1"/>
  <c r="F9" i="2"/>
  <c r="I8" i="2"/>
  <c r="J8" i="2" s="1"/>
  <c r="J9" i="2"/>
  <c r="J153" i="2"/>
  <c r="I149" i="2"/>
  <c r="E149" i="2"/>
  <c r="F150" i="2"/>
  <c r="I164" i="2" l="1"/>
  <c r="J164" i="2" s="1"/>
  <c r="J149" i="2"/>
  <c r="E164" i="2"/>
  <c r="F164" i="2" s="1"/>
  <c r="F149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MEDGINA ANTENORD</author>
  </authors>
  <commentList>
    <comment ref="B61" authorId="0" shapeId="0" xr:uid="{D1980D0B-E77E-4758-BC1A-A547DB527A6C}">
      <text>
        <r>
          <rPr>
            <b/>
            <sz val="9"/>
            <color indexed="81"/>
            <rFont val="Tahoma"/>
            <family val="2"/>
          </rPr>
          <t>MEDGINA ANTENORD:</t>
        </r>
        <r>
          <rPr>
            <sz val="9"/>
            <color indexed="81"/>
            <rFont val="Tahoma"/>
            <family val="2"/>
          </rPr>
          <t xml:space="preserve">
Nouvelle direction"</t>
        </r>
        <r>
          <rPr>
            <b/>
            <sz val="9"/>
            <color indexed="81"/>
            <rFont val="Tahoma"/>
            <family val="2"/>
          </rPr>
          <t>COMMISSION NATIONALE D'ASSISTANCE LEGALE</t>
        </r>
        <r>
          <rPr>
            <sz val="9"/>
            <color indexed="81"/>
            <rFont val="Tahoma"/>
            <family val="2"/>
          </rPr>
          <t>"</t>
        </r>
      </text>
    </comment>
  </commentList>
</comments>
</file>

<file path=xl/sharedStrings.xml><?xml version="1.0" encoding="utf-8"?>
<sst xmlns="http://schemas.openxmlformats.org/spreadsheetml/2006/main" count="308" uniqueCount="161">
  <si>
    <t>EVENTUELS PENSIONNAIRES PAR CATEGORIE (Septembre 2026)</t>
  </si>
  <si>
    <t>MINISTÈRE/ CATÉGORIE</t>
  </si>
  <si>
    <t>Nombre d'employés</t>
  </si>
  <si>
    <t>1111 - MPCE</t>
  </si>
  <si>
    <t>Cadre de premier rang</t>
  </si>
  <si>
    <t>Cadre décisionnel</t>
  </si>
  <si>
    <t>Personnel de soutien</t>
  </si>
  <si>
    <t>Personnel diplômé ou certifié</t>
  </si>
  <si>
    <t>1112 - MEF</t>
  </si>
  <si>
    <t>1113 - MARNDR</t>
  </si>
  <si>
    <t>1114 - MTPTC</t>
  </si>
  <si>
    <t>1115 - MCI</t>
  </si>
  <si>
    <t>1116 - MDE</t>
  </si>
  <si>
    <t>1117 - MTIC</t>
  </si>
  <si>
    <t>1211 - MJSP</t>
  </si>
  <si>
    <t>1212 - MHAVE</t>
  </si>
  <si>
    <t>1213 - MAE</t>
  </si>
  <si>
    <t>1214 - LA PRÉSIDENCE</t>
  </si>
  <si>
    <t>1215 - LA PRIMATURE</t>
  </si>
  <si>
    <t>1216 - MICT</t>
  </si>
  <si>
    <t>1217 - MDN</t>
  </si>
  <si>
    <t>1311 - MENFP</t>
  </si>
  <si>
    <t>1312 - MAST</t>
  </si>
  <si>
    <t>1313 - MSPP</t>
  </si>
  <si>
    <t>1314 - MCFDF</t>
  </si>
  <si>
    <t>1315 - MJSAC</t>
  </si>
  <si>
    <t>1411 - M. CULTES</t>
  </si>
  <si>
    <t>1412 - M. CULTURE</t>
  </si>
  <si>
    <t>1413 - M. COMMUNICATION</t>
  </si>
  <si>
    <t>2211 - SENAT</t>
  </si>
  <si>
    <t>2212 - CH. DES DÉPUTÉS</t>
  </si>
  <si>
    <t>3211 - CSPJ</t>
  </si>
  <si>
    <t>4111 - CSCCA</t>
  </si>
  <si>
    <t>4211 - CEP</t>
  </si>
  <si>
    <t>4212 - OPC</t>
  </si>
  <si>
    <t>4311 - UEH</t>
  </si>
  <si>
    <t>4411 - AKA</t>
  </si>
  <si>
    <t>Total général</t>
  </si>
  <si>
    <t>DIRECTION GENERALE DU BUDGET (DGB)</t>
  </si>
  <si>
    <t>EVOLUTION DE L'EFFECTIF ET DE LA MASSE SALARIALE</t>
  </si>
  <si>
    <t>PERSONNELS DE CARRIERE ET GRANDS COMMIS</t>
  </si>
  <si>
    <t>Septembre 2025 vs Septembre 2026</t>
  </si>
  <si>
    <t>CODE BUDGETAIRE</t>
  </si>
  <si>
    <t>EFFECTIF  Septembre 2025</t>
  </si>
  <si>
    <t>EFFECTIF       Septembre 2026</t>
  </si>
  <si>
    <t>variation</t>
  </si>
  <si>
    <t>MASSE SALARIALE Septembre 2025</t>
  </si>
  <si>
    <t>MASSE SALARIALE Septembre 2026</t>
  </si>
  <si>
    <t>POUVOIR EXECUTIF</t>
  </si>
  <si>
    <t>SECTEUR ECONOMIQUE</t>
  </si>
  <si>
    <t xml:space="preserve"> MINISTERE DE LA PLANIFICATION ET DE LA COOPERATION EXTERNE</t>
  </si>
  <si>
    <t>BUREAU MINISTRE</t>
  </si>
  <si>
    <t>DIRECTION GENERALE DES SERVICES INTERNES</t>
  </si>
  <si>
    <t>CTPEA</t>
  </si>
  <si>
    <t>CONSEIL NATIONAL DES COOPERATIVES</t>
  </si>
  <si>
    <t>CENTRE NATIONAL DE L'INFORMATION GEO-SPATIALE</t>
  </si>
  <si>
    <t>MINISTERE DE L'ECONOMIE ET DES FINANCES</t>
  </si>
  <si>
    <t>ECOLE NATIONALE D'ADMINISTRATION FINANCIERE</t>
  </si>
  <si>
    <t>INSTITUT HAITIEN DE STATISTIQUE ET D'INFORMATIQUE</t>
  </si>
  <si>
    <t>DIRECTION GENERALE DU BUDGET</t>
  </si>
  <si>
    <t>DIRECTION GENERALE DES IMPOTS</t>
  </si>
  <si>
    <t>ADMINISTRATION GENERALE DES DOUANES</t>
  </si>
  <si>
    <t>INSPECTION GENERALE DES FINANCES</t>
  </si>
  <si>
    <t xml:space="preserve">MINISTERE DE L'AGRICULTURE DES RESSOURCES NATURELLES ET DU DEVELOPPEMENT RURAL </t>
  </si>
  <si>
    <t>ORGANISME DE DEV. DE LA VALLEE DE L'ARTIBONITE</t>
  </si>
  <si>
    <t>INSTITUT NATIONAL DE REFORME AGRAIRE</t>
  </si>
  <si>
    <t>INSTITUT NATIONAL DU CAFÉ HAITIEN</t>
  </si>
  <si>
    <t>MINISTERE DES TRAVAUX PUBLICS, TRANSPORTS ET COMMUNICATIONS</t>
  </si>
  <si>
    <t>LNBTP</t>
  </si>
  <si>
    <t>OFFICE NATIONAL DU CADASTRE</t>
  </si>
  <si>
    <t>SERVICE MARITIME ET DE NAVIGATION</t>
  </si>
  <si>
    <t>CONSEIL NATIONAL DES TELECOMUNICATIONS</t>
  </si>
  <si>
    <t>BUREAU DES MINES ET DE L'ENERGIE</t>
  </si>
  <si>
    <t>DINEPA</t>
  </si>
  <si>
    <t>MINISTERE COMMERCE ET DE L'INDUSTRIE</t>
  </si>
  <si>
    <t>OFFICE DES POSTES</t>
  </si>
  <si>
    <t>DIRECTION GENERALE DES ZONES FRANCHES</t>
  </si>
  <si>
    <t>MINISTERE DE L'ENVIRONNEMENT</t>
  </si>
  <si>
    <t>AGENCE NATIONALE DES AIRES PROTEGEES</t>
  </si>
  <si>
    <t>SERVICE NATIONAL DE GESTION DES RESIDUS SOLIDES</t>
  </si>
  <si>
    <t>MINISTERE DU TOURISME ET DES INDUSTRIES CREATIVES</t>
  </si>
  <si>
    <t>ECOLE HOTELIERE</t>
  </si>
  <si>
    <t>SECTEUR POLITIQUE</t>
  </si>
  <si>
    <t>MINISTERE DE LA JUSTICE ET DE LA SECURITE PUBLIQUE</t>
  </si>
  <si>
    <t>UNITE CENTRALE DE RENSEIGNEMENTS FINANCIERS</t>
  </si>
  <si>
    <t>BUREAU DU SECRETAIRE D'ETAT A LA SECURITE PUBLIQUE</t>
  </si>
  <si>
    <t>-</t>
  </si>
  <si>
    <t>ECOLE DE LA MAJISTRATURE</t>
  </si>
  <si>
    <t>COMMISSION NATIONALE D'ASSISTANCE LEGALE</t>
  </si>
  <si>
    <t>POLICE NATIONALE D'HAITI</t>
  </si>
  <si>
    <t>MINISTERE DES HAITIENS VIVANTS A L'ETRANGER</t>
  </si>
  <si>
    <t>MINISTERE DES AFFAIRES ETRANGERES</t>
  </si>
  <si>
    <t>LA PRESIDENCE</t>
  </si>
  <si>
    <t>BUREAU DU PRESIDENT</t>
  </si>
  <si>
    <t>ADMINISTRATION GENERALE</t>
  </si>
  <si>
    <t>BUREAU DU PREMIER MINISTRE</t>
  </si>
  <si>
    <t>BUREAU  1ER MINISTRE</t>
  </si>
  <si>
    <t>CONSEIL DE MODERNISATION DES ENTREPRISES PUBLIQUES</t>
  </si>
  <si>
    <t>COMMISSION NATIONALE DE LUTTE CONTRE LA DROGUE</t>
  </si>
  <si>
    <t>BUREAU DE L'ORDONNATEUR NATIONAL</t>
  </si>
  <si>
    <t>COMMISSION NATIONALE INTERIMAIRE DE PASSATION DE MARCHÉS</t>
  </si>
  <si>
    <t>BUR. DE COORD. SUIVI DES ACC. C/Z</t>
  </si>
  <si>
    <t>CEFOPAFOP</t>
  </si>
  <si>
    <t>BUREAU DE GESTION DES MILITAIRES DEMOBILISES</t>
  </si>
  <si>
    <t>MINISTERE DE L'INTERIEUR ET DES COLLECTIVITES TERRITORIALES</t>
  </si>
  <si>
    <t>DIRECTION GENERALE DE LA PROTECTION CIVILE</t>
  </si>
  <si>
    <t>MINISTERE DE LA DEFENSE NATIONALE</t>
  </si>
  <si>
    <t>DIRECTION GENERALE</t>
  </si>
  <si>
    <t>FORCES ARMEES D'HAITI</t>
  </si>
  <si>
    <t>SECTEUR SOCIAL</t>
  </si>
  <si>
    <t>MINISTERE DE L'EDUCATION NATIONALE ET DE LA FORMATION PROFESSIONNELLE</t>
  </si>
  <si>
    <t>COMMISSION NATIONALE DE COOP. AVEC L' UNESCO</t>
  </si>
  <si>
    <t>INSTITUT NATIONAL FORMATION PROFESSIONNELLE</t>
  </si>
  <si>
    <t>OFFICE NATIONAL DE PARTENARIAT</t>
  </si>
  <si>
    <t>MINISTERE DES AFFAIRES SOCIALES ET DU TRAVAIL</t>
  </si>
  <si>
    <t>INSTITUT BIEN-ETRE SOCIAL &amp; DE RECHERCHES</t>
  </si>
  <si>
    <t>EPPLS</t>
  </si>
  <si>
    <t>OFFICE NATIONAL DE LA MIGRATION</t>
  </si>
  <si>
    <t>BUREAU DU SECRETAIRE D'ETAT POUR L'INTEGRATION DES PERSONNES HANDICAPEES</t>
  </si>
  <si>
    <t>MINISTERE DE LA SANTE PUBLIQUE ET DE LA POPULATION</t>
  </si>
  <si>
    <t>CENTRE AMBULANCIER NATIONAL</t>
  </si>
  <si>
    <t>MINISTERE A LA CONDITION FEMININE ET AUX DROITS DE LA FEMME</t>
  </si>
  <si>
    <t>MINISTERE DE LA JEUNESSE ET DES SPORTS ET DE L'ACTION CIVIQUE</t>
  </si>
  <si>
    <t>SECTEUR CULTUREL</t>
  </si>
  <si>
    <t>MINISTERE DES CULTES</t>
  </si>
  <si>
    <t>MINISTERE DE LA CULTURE</t>
  </si>
  <si>
    <t>ECOLE NATIONALE DES ARTS</t>
  </si>
  <si>
    <t>INSTITUT DE SAUVEGARDE DU PATRIMOINE NATIONAL</t>
  </si>
  <si>
    <t>THEATRE NATIONAL</t>
  </si>
  <si>
    <t>MUSEE DU PANTHEON NATIONAL</t>
  </si>
  <si>
    <t>BUREAU NATIONAL D'ETHNOLOGIE</t>
  </si>
  <si>
    <t>BIBLIOTHEQUE NATIONALE D'HAITI</t>
  </si>
  <si>
    <t>ARCHIVES NATIONALES D'HAITI</t>
  </si>
  <si>
    <t>DIRECTION NATIONALE DU LIVRE</t>
  </si>
  <si>
    <t>BUREAU HAITIEN DU DROIT D'AUTEUR</t>
  </si>
  <si>
    <t>MINISTERE DE LA COMMUNICATION</t>
  </si>
  <si>
    <t xml:space="preserve">DIRECTION GENERALE </t>
  </si>
  <si>
    <t>TELEVISION NATIONALE D'HAITI</t>
  </si>
  <si>
    <t>RADIO NATIONALE D'HAITI</t>
  </si>
  <si>
    <t>POUVOIR LEGISLATIF</t>
  </si>
  <si>
    <t>SENAT DE LA REPUBLIQUE</t>
  </si>
  <si>
    <t>ASSEMBLEE DES SENATEURS</t>
  </si>
  <si>
    <t>CHAMBRE DES DEPUTES</t>
  </si>
  <si>
    <t>SECRETARIAT GENERAL</t>
  </si>
  <si>
    <t>POUVOIR JUDICIAIRE</t>
  </si>
  <si>
    <t>CONSEIL SUPERIEUR DU POUVOIR JUDICIAIRE</t>
  </si>
  <si>
    <t>COUR DE CASSATION</t>
  </si>
  <si>
    <t>COUR D'APPEL</t>
  </si>
  <si>
    <t>TRIBUNAUX</t>
  </si>
  <si>
    <t>ORGANISMES INDEPENDANTS</t>
  </si>
  <si>
    <t>COUR SUPERIEURE DES COMPTES ET DU CONTENTIEUX ADMINISTRATIF</t>
  </si>
  <si>
    <t>CONSEIL DE LA COUR</t>
  </si>
  <si>
    <t>CONSEIL ELECTORAL</t>
  </si>
  <si>
    <t>OFFICE DE LA PROTECTION DU CITOYEN</t>
  </si>
  <si>
    <t>UNIVERSITE D'ETAT D'HAITI</t>
  </si>
  <si>
    <t>RECTORAT DE L'UNIVERSITE D'ETAT D'HAITI</t>
  </si>
  <si>
    <t>ACADEMIE DU CREOLE HAITIEN</t>
  </si>
  <si>
    <t>SECRETARIAT DE L'ACADEMIE DU CREOLE HAITIEN</t>
  </si>
  <si>
    <t>GRAND TOTAL</t>
  </si>
  <si>
    <t xml:space="preserve"> </t>
  </si>
  <si>
    <t>INSTITUTION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</si>
</sst>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Calibri"/>
      <family val="2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1"/>
        <bgColor theme="4" tint="0.79998168889431442"/>
      </patternFill>
    </fill>
    <fill>
      <patternFill patternType="solid">
        <fgColor rgb="FFB7DEE8"/>
        <bgColor rgb="FF000000"/>
      </patternFill>
    </fill>
    <fill>
      <patternFill patternType="solid">
        <fgColor rgb="FF31869B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A9694"/>
        <bgColor rgb="FF000000"/>
      </patternFill>
    </fill>
    <fill>
      <patternFill patternType="solid">
        <fgColor rgb="FFFFFFFF"/>
        <bgColor rgb="FF000000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35">
    <xf numFmtId="0" fontId="0" fillId="0" borderId="0" xfId="0"/>
    <xf numFmtId="0" fontId="6" fillId="2" borderId="1" xfId="2" applyFont="1" applyFill="1" applyBorder="1" applyAlignment="1">
      <alignment horizontal="center"/>
    </xf>
    <xf numFmtId="0" fontId="5" fillId="0" borderId="0" xfId="2"/>
    <xf numFmtId="0" fontId="2" fillId="3" borderId="2" xfId="2" applyFont="1" applyFill="1" applyBorder="1"/>
    <xf numFmtId="0" fontId="4" fillId="3" borderId="2" xfId="2" applyFont="1" applyFill="1" applyBorder="1"/>
    <xf numFmtId="0" fontId="3" fillId="0" borderId="2" xfId="2" applyFont="1" applyBorder="1" applyAlignment="1">
      <alignment horizontal="left"/>
    </xf>
    <xf numFmtId="164" fontId="3" fillId="0" borderId="2" xfId="3" applyNumberFormat="1" applyFont="1" applyBorder="1"/>
    <xf numFmtId="0" fontId="5" fillId="0" borderId="0" xfId="2" applyAlignment="1">
      <alignment horizontal="left" indent="1"/>
    </xf>
    <xf numFmtId="164" fontId="0" fillId="0" borderId="0" xfId="3" applyNumberFormat="1" applyFont="1"/>
    <xf numFmtId="0" fontId="2" fillId="3" borderId="3" xfId="2" applyFont="1" applyFill="1" applyBorder="1" applyAlignment="1">
      <alignment horizontal="left"/>
    </xf>
    <xf numFmtId="164" fontId="2" fillId="3" borderId="3" xfId="3" applyNumberFormat="1" applyFont="1" applyFill="1" applyBorder="1"/>
    <xf numFmtId="3" fontId="7" fillId="0" borderId="0" xfId="0" applyNumberFormat="1" applyFont="1" applyAlignment="1">
      <alignment horizontal="center"/>
    </xf>
    <xf numFmtId="0" fontId="8" fillId="0" borderId="0" xfId="0" applyFont="1"/>
    <xf numFmtId="3" fontId="8" fillId="0" borderId="4" xfId="0" applyNumberFormat="1" applyFont="1" applyBorder="1"/>
    <xf numFmtId="0" fontId="8" fillId="0" borderId="4" xfId="0" applyFont="1" applyBorder="1"/>
    <xf numFmtId="3" fontId="8" fillId="0" borderId="0" xfId="0" applyNumberFormat="1" applyFont="1"/>
    <xf numFmtId="3" fontId="7" fillId="4" borderId="5" xfId="0" applyNumberFormat="1" applyFont="1" applyFill="1" applyBorder="1" applyAlignment="1">
      <alignment horizontal="center" vertical="center" wrapText="1"/>
    </xf>
    <xf numFmtId="3" fontId="7" fillId="4" borderId="5" xfId="0" applyNumberFormat="1" applyFont="1" applyFill="1" applyBorder="1" applyAlignment="1">
      <alignment vertical="center" wrapText="1"/>
    </xf>
    <xf numFmtId="3" fontId="7" fillId="4" borderId="6" xfId="0" applyNumberFormat="1" applyFont="1" applyFill="1" applyBorder="1" applyAlignment="1">
      <alignment horizontal="center" vertical="center" wrapText="1"/>
    </xf>
    <xf numFmtId="3" fontId="7" fillId="4" borderId="7" xfId="0" applyNumberFormat="1" applyFont="1" applyFill="1" applyBorder="1" applyAlignment="1">
      <alignment horizontal="center" vertical="center" wrapText="1"/>
    </xf>
    <xf numFmtId="4" fontId="7" fillId="4" borderId="7" xfId="0" applyNumberFormat="1" applyFont="1" applyFill="1" applyBorder="1" applyAlignment="1">
      <alignment horizontal="center" vertical="center" wrapText="1"/>
    </xf>
    <xf numFmtId="4" fontId="7" fillId="4" borderId="8" xfId="0" applyNumberFormat="1" applyFont="1" applyFill="1" applyBorder="1" applyAlignment="1">
      <alignment horizontal="center" vertical="center" wrapText="1"/>
    </xf>
    <xf numFmtId="3" fontId="7" fillId="4" borderId="9" xfId="0" applyNumberFormat="1" applyFont="1" applyFill="1" applyBorder="1" applyAlignment="1">
      <alignment horizontal="center" vertical="center" wrapText="1"/>
    </xf>
    <xf numFmtId="3" fontId="7" fillId="5" borderId="10" xfId="0" applyNumberFormat="1" applyFont="1" applyFill="1" applyBorder="1" applyAlignment="1">
      <alignment horizontal="right" vertical="center"/>
    </xf>
    <xf numFmtId="3" fontId="7" fillId="5" borderId="5" xfId="0" applyNumberFormat="1" applyFont="1" applyFill="1" applyBorder="1" applyAlignment="1">
      <alignment horizontal="left" vertical="center" wrapText="1"/>
    </xf>
    <xf numFmtId="3" fontId="9" fillId="5" borderId="9" xfId="0" applyNumberFormat="1" applyFont="1" applyFill="1" applyBorder="1" applyAlignment="1">
      <alignment horizontal="center" vertical="center"/>
    </xf>
    <xf numFmtId="3" fontId="9" fillId="5" borderId="11" xfId="0" applyNumberFormat="1" applyFont="1" applyFill="1" applyBorder="1" applyAlignment="1">
      <alignment horizontal="center" vertical="center"/>
    </xf>
    <xf numFmtId="165" fontId="9" fillId="5" borderId="12" xfId="1" applyNumberFormat="1" applyFont="1" applyFill="1" applyBorder="1" applyAlignment="1">
      <alignment horizontal="center" vertical="center"/>
    </xf>
    <xf numFmtId="1" fontId="10" fillId="6" borderId="10" xfId="0" applyNumberFormat="1" applyFont="1" applyFill="1" applyBorder="1" applyAlignment="1">
      <alignment horizontal="right" vertical="center"/>
    </xf>
    <xf numFmtId="3" fontId="7" fillId="6" borderId="10" xfId="0" applyNumberFormat="1" applyFont="1" applyFill="1" applyBorder="1" applyAlignment="1">
      <alignment horizontal="left" vertical="center" wrapText="1"/>
    </xf>
    <xf numFmtId="3" fontId="9" fillId="6" borderId="6" xfId="0" applyNumberFormat="1" applyFont="1" applyFill="1" applyBorder="1" applyAlignment="1">
      <alignment horizontal="center" vertical="center"/>
    </xf>
    <xf numFmtId="3" fontId="9" fillId="6" borderId="11" xfId="0" applyNumberFormat="1" applyFont="1" applyFill="1" applyBorder="1" applyAlignment="1">
      <alignment horizontal="center" vertical="center"/>
    </xf>
    <xf numFmtId="165" fontId="9" fillId="6" borderId="12" xfId="1" applyNumberFormat="1" applyFont="1" applyFill="1" applyBorder="1" applyAlignment="1">
      <alignment horizontal="center" vertical="center"/>
    </xf>
    <xf numFmtId="1" fontId="7" fillId="7" borderId="5" xfId="0" applyNumberFormat="1" applyFont="1" applyFill="1" applyBorder="1" applyAlignment="1">
      <alignment horizontal="right" vertical="center"/>
    </xf>
    <xf numFmtId="3" fontId="7" fillId="7" borderId="5" xfId="0" applyNumberFormat="1" applyFont="1" applyFill="1" applyBorder="1" applyAlignment="1">
      <alignment horizontal="left" vertical="center" wrapText="1"/>
    </xf>
    <xf numFmtId="3" fontId="9" fillId="7" borderId="9" xfId="0" applyNumberFormat="1" applyFont="1" applyFill="1" applyBorder="1" applyAlignment="1">
      <alignment horizontal="center" vertical="center"/>
    </xf>
    <xf numFmtId="3" fontId="9" fillId="7" borderId="7" xfId="0" applyNumberFormat="1" applyFont="1" applyFill="1" applyBorder="1" applyAlignment="1">
      <alignment horizontal="center" vertical="center"/>
    </xf>
    <xf numFmtId="165" fontId="9" fillId="7" borderId="8" xfId="1" applyNumberFormat="1" applyFont="1" applyFill="1" applyBorder="1" applyAlignment="1">
      <alignment horizontal="center" vertical="center"/>
    </xf>
    <xf numFmtId="1" fontId="10" fillId="0" borderId="13" xfId="0" applyNumberFormat="1" applyFont="1" applyBorder="1" applyAlignment="1">
      <alignment horizontal="right" vertical="center"/>
    </xf>
    <xf numFmtId="3" fontId="10" fillId="0" borderId="14" xfId="0" applyNumberFormat="1" applyFont="1" applyBorder="1" applyAlignment="1">
      <alignment horizontal="left" vertical="center" wrapText="1"/>
    </xf>
    <xf numFmtId="3" fontId="11" fillId="0" borderId="15" xfId="0" applyNumberFormat="1" applyFont="1" applyBorder="1" applyAlignment="1">
      <alignment horizontal="center" vertical="center"/>
    </xf>
    <xf numFmtId="3" fontId="11" fillId="0" borderId="16" xfId="0" applyNumberFormat="1" applyFont="1" applyBorder="1" applyAlignment="1">
      <alignment horizontal="center" vertical="center"/>
    </xf>
    <xf numFmtId="165" fontId="11" fillId="0" borderId="17" xfId="1" applyNumberFormat="1" applyFont="1" applyFill="1" applyBorder="1" applyAlignment="1">
      <alignment horizontal="center" vertical="center"/>
    </xf>
    <xf numFmtId="1" fontId="10" fillId="0" borderId="18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left" vertical="center" wrapText="1"/>
    </xf>
    <xf numFmtId="1" fontId="10" fillId="0" borderId="20" xfId="0" applyNumberFormat="1" applyFont="1" applyBorder="1" applyAlignment="1">
      <alignment horizontal="right" vertical="center"/>
    </xf>
    <xf numFmtId="3" fontId="10" fillId="0" borderId="21" xfId="0" applyNumberFormat="1" applyFont="1" applyBorder="1" applyAlignment="1">
      <alignment horizontal="left" vertical="center" wrapText="1"/>
    </xf>
    <xf numFmtId="3" fontId="11" fillId="0" borderId="22" xfId="0" applyNumberFormat="1" applyFont="1" applyBorder="1" applyAlignment="1">
      <alignment horizontal="center" vertical="center"/>
    </xf>
    <xf numFmtId="3" fontId="11" fillId="0" borderId="23" xfId="0" applyNumberFormat="1" applyFont="1" applyBorder="1" applyAlignment="1">
      <alignment horizontal="center" vertical="center"/>
    </xf>
    <xf numFmtId="165" fontId="11" fillId="0" borderId="24" xfId="1" applyNumberFormat="1" applyFont="1" applyFill="1" applyBorder="1" applyAlignment="1">
      <alignment horizontal="center" vertical="center"/>
    </xf>
    <xf numFmtId="165" fontId="11" fillId="0" borderId="26" xfId="1" applyNumberFormat="1" applyFont="1" applyFill="1" applyBorder="1" applyAlignment="1">
      <alignment horizontal="center" vertical="center"/>
    </xf>
    <xf numFmtId="3" fontId="10" fillId="0" borderId="20" xfId="0" applyNumberFormat="1" applyFont="1" applyBorder="1" applyAlignment="1">
      <alignment horizontal="left" vertical="center" wrapText="1"/>
    </xf>
    <xf numFmtId="3" fontId="11" fillId="0" borderId="27" xfId="0" applyNumberFormat="1" applyFont="1" applyBorder="1" applyAlignment="1">
      <alignment horizontal="center" vertical="center"/>
    </xf>
    <xf numFmtId="3" fontId="11" fillId="0" borderId="28" xfId="0" applyNumberFormat="1" applyFont="1" applyBorder="1" applyAlignment="1">
      <alignment horizontal="center" vertical="center"/>
    </xf>
    <xf numFmtId="165" fontId="11" fillId="0" borderId="29" xfId="1" applyNumberFormat="1" applyFont="1" applyFill="1" applyBorder="1" applyAlignment="1">
      <alignment horizontal="center" vertical="center"/>
    </xf>
    <xf numFmtId="0" fontId="8" fillId="0" borderId="31" xfId="0" applyFont="1" applyBorder="1"/>
    <xf numFmtId="1" fontId="10" fillId="0" borderId="32" xfId="0" applyNumberFormat="1" applyFont="1" applyBorder="1" applyAlignment="1">
      <alignment horizontal="right" vertical="center"/>
    </xf>
    <xf numFmtId="1" fontId="10" fillId="0" borderId="29" xfId="0" applyNumberFormat="1" applyFont="1" applyBorder="1" applyAlignment="1">
      <alignment horizontal="right" vertical="center"/>
    </xf>
    <xf numFmtId="3" fontId="10" fillId="0" borderId="33" xfId="0" applyNumberFormat="1" applyFont="1" applyBorder="1" applyAlignment="1">
      <alignment horizontal="left" vertical="center" wrapText="1"/>
    </xf>
    <xf numFmtId="3" fontId="11" fillId="0" borderId="34" xfId="0" applyNumberFormat="1" applyFont="1" applyBorder="1" applyAlignment="1">
      <alignment horizontal="center" vertical="center"/>
    </xf>
    <xf numFmtId="3" fontId="11" fillId="0" borderId="35" xfId="0" applyNumberFormat="1" applyFont="1" applyBorder="1" applyAlignment="1">
      <alignment horizontal="center" vertical="center"/>
    </xf>
    <xf numFmtId="3" fontId="7" fillId="7" borderId="36" xfId="0" applyNumberFormat="1" applyFont="1" applyFill="1" applyBorder="1" applyAlignment="1">
      <alignment horizontal="left" vertical="center" wrapText="1"/>
    </xf>
    <xf numFmtId="3" fontId="9" fillId="7" borderId="37" xfId="0" applyNumberFormat="1" applyFont="1" applyFill="1" applyBorder="1" applyAlignment="1">
      <alignment horizontal="center" vertical="center"/>
    </xf>
    <xf numFmtId="3" fontId="9" fillId="7" borderId="38" xfId="0" applyNumberFormat="1" applyFont="1" applyFill="1" applyBorder="1" applyAlignment="1">
      <alignment horizontal="center" vertical="center"/>
    </xf>
    <xf numFmtId="0" fontId="10" fillId="0" borderId="18" xfId="0" applyFont="1" applyBorder="1" applyAlignment="1">
      <alignment horizontal="right" vertical="center"/>
    </xf>
    <xf numFmtId="4" fontId="10" fillId="0" borderId="21" xfId="0" applyNumberFormat="1" applyFont="1" applyBorder="1" applyAlignment="1">
      <alignment horizontal="left" vertical="center" wrapText="1"/>
    </xf>
    <xf numFmtId="0" fontId="10" fillId="0" borderId="20" xfId="0" applyFont="1" applyBorder="1" applyAlignment="1">
      <alignment horizontal="right" vertical="center"/>
    </xf>
    <xf numFmtId="4" fontId="7" fillId="7" borderId="5" xfId="0" applyNumberFormat="1" applyFont="1" applyFill="1" applyBorder="1" applyAlignment="1">
      <alignment horizontal="left" vertical="center" wrapText="1"/>
    </xf>
    <xf numFmtId="3" fontId="11" fillId="0" borderId="39" xfId="0" applyNumberFormat="1" applyFont="1" applyBorder="1" applyAlignment="1">
      <alignment horizontal="center" vertical="center"/>
    </xf>
    <xf numFmtId="3" fontId="11" fillId="0" borderId="40" xfId="0" applyNumberFormat="1" applyFont="1" applyBorder="1" applyAlignment="1">
      <alignment horizontal="center" vertical="center"/>
    </xf>
    <xf numFmtId="165" fontId="11" fillId="0" borderId="32" xfId="1" applyNumberFormat="1" applyFont="1" applyFill="1" applyBorder="1" applyAlignment="1">
      <alignment horizontal="center" vertical="center"/>
    </xf>
    <xf numFmtId="4" fontId="10" fillId="0" borderId="18" xfId="0" applyNumberFormat="1" applyFont="1" applyBorder="1" applyAlignment="1">
      <alignment horizontal="left" vertical="center" wrapText="1"/>
    </xf>
    <xf numFmtId="4" fontId="10" fillId="0" borderId="19" xfId="0" applyNumberFormat="1" applyFont="1" applyBorder="1" applyAlignment="1">
      <alignment horizontal="left" vertical="center" wrapText="1"/>
    </xf>
    <xf numFmtId="1" fontId="10" fillId="0" borderId="33" xfId="0" applyNumberFormat="1" applyFont="1" applyBorder="1" applyAlignment="1">
      <alignment horizontal="right" vertical="center"/>
    </xf>
    <xf numFmtId="3" fontId="10" fillId="0" borderId="41" xfId="0" applyNumberFormat="1" applyFont="1" applyBorder="1" applyAlignment="1">
      <alignment horizontal="left" vertical="center" wrapText="1"/>
    </xf>
    <xf numFmtId="165" fontId="11" fillId="0" borderId="42" xfId="1" applyNumberFormat="1" applyFont="1" applyFill="1" applyBorder="1" applyAlignment="1">
      <alignment horizontal="center" vertical="center"/>
    </xf>
    <xf numFmtId="1" fontId="7" fillId="7" borderId="36" xfId="0" applyNumberFormat="1" applyFont="1" applyFill="1" applyBorder="1" applyAlignment="1">
      <alignment horizontal="right" vertical="center"/>
    </xf>
    <xf numFmtId="165" fontId="9" fillId="7" borderId="43" xfId="1" applyNumberFormat="1" applyFont="1" applyFill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165" fontId="11" fillId="0" borderId="21" xfId="1" applyNumberFormat="1" applyFont="1" applyFill="1" applyBorder="1" applyAlignment="1">
      <alignment horizontal="center" vertical="center"/>
    </xf>
    <xf numFmtId="0" fontId="10" fillId="0" borderId="45" xfId="0" applyFont="1" applyBorder="1" applyAlignment="1">
      <alignment horizontal="right" vertical="center"/>
    </xf>
    <xf numFmtId="3" fontId="10" fillId="0" borderId="13" xfId="0" applyNumberFormat="1" applyFont="1" applyBorder="1" applyAlignment="1">
      <alignment horizontal="left" vertical="center" wrapText="1"/>
    </xf>
    <xf numFmtId="3" fontId="9" fillId="7" borderId="22" xfId="0" applyNumberFormat="1" applyFont="1" applyFill="1" applyBorder="1" applyAlignment="1">
      <alignment horizontal="center" vertical="center"/>
    </xf>
    <xf numFmtId="3" fontId="11" fillId="0" borderId="46" xfId="0" applyNumberFormat="1" applyFont="1" applyBorder="1" applyAlignment="1">
      <alignment horizontal="center" vertical="center"/>
    </xf>
    <xf numFmtId="4" fontId="10" fillId="0" borderId="20" xfId="0" applyNumberFormat="1" applyFont="1" applyBorder="1" applyAlignment="1">
      <alignment horizontal="left" vertical="center" wrapText="1"/>
    </xf>
    <xf numFmtId="1" fontId="7" fillId="6" borderId="10" xfId="0" applyNumberFormat="1" applyFont="1" applyFill="1" applyBorder="1" applyAlignment="1">
      <alignment horizontal="right" vertical="center"/>
    </xf>
    <xf numFmtId="1" fontId="10" fillId="0" borderId="45" xfId="0" applyNumberFormat="1" applyFont="1" applyBorder="1" applyAlignment="1">
      <alignment horizontal="right" vertical="center"/>
    </xf>
    <xf numFmtId="3" fontId="10" fillId="0" borderId="47" xfId="0" applyNumberFormat="1" applyFont="1" applyBorder="1" applyAlignment="1">
      <alignment horizontal="left" vertical="center" wrapText="1"/>
    </xf>
    <xf numFmtId="0" fontId="11" fillId="0" borderId="17" xfId="1" applyNumberFormat="1" applyFont="1" applyFill="1" applyBorder="1" applyAlignment="1">
      <alignment horizontal="center" vertical="center"/>
    </xf>
    <xf numFmtId="1" fontId="7" fillId="5" borderId="10" xfId="0" applyNumberFormat="1" applyFont="1" applyFill="1" applyBorder="1" applyAlignment="1">
      <alignment horizontal="right" vertical="center"/>
    </xf>
    <xf numFmtId="3" fontId="7" fillId="5" borderId="10" xfId="0" applyNumberFormat="1" applyFont="1" applyFill="1" applyBorder="1" applyAlignment="1">
      <alignment horizontal="left" vertical="center" wrapText="1"/>
    </xf>
    <xf numFmtId="3" fontId="9" fillId="5" borderId="6" xfId="0" applyNumberFormat="1" applyFont="1" applyFill="1" applyBorder="1" applyAlignment="1">
      <alignment horizontal="center" vertical="center"/>
    </xf>
    <xf numFmtId="1" fontId="10" fillId="0" borderId="10" xfId="0" applyNumberFormat="1" applyFont="1" applyBorder="1" applyAlignment="1">
      <alignment horizontal="right" vertical="center"/>
    </xf>
    <xf numFmtId="3" fontId="10" fillId="0" borderId="48" xfId="0" applyNumberFormat="1" applyFont="1" applyBorder="1" applyAlignment="1">
      <alignment horizontal="left" vertical="center" wrapText="1"/>
    </xf>
    <xf numFmtId="3" fontId="11" fillId="0" borderId="6" xfId="0" applyNumberFormat="1" applyFont="1" applyBorder="1" applyAlignment="1">
      <alignment horizontal="center" vertical="center"/>
    </xf>
    <xf numFmtId="3" fontId="11" fillId="0" borderId="11" xfId="0" applyNumberFormat="1" applyFont="1" applyBorder="1" applyAlignment="1">
      <alignment horizontal="center" vertical="center"/>
    </xf>
    <xf numFmtId="165" fontId="11" fillId="0" borderId="12" xfId="1" applyNumberFormat="1" applyFont="1" applyFill="1" applyBorder="1" applyAlignment="1">
      <alignment horizontal="center" vertical="center"/>
    </xf>
    <xf numFmtId="1" fontId="7" fillId="6" borderId="5" xfId="0" applyNumberFormat="1" applyFont="1" applyFill="1" applyBorder="1" applyAlignment="1">
      <alignment horizontal="right" vertical="center"/>
    </xf>
    <xf numFmtId="3" fontId="7" fillId="6" borderId="5" xfId="0" applyNumberFormat="1" applyFont="1" applyFill="1" applyBorder="1" applyAlignment="1">
      <alignment horizontal="left" vertical="center" wrapText="1"/>
    </xf>
    <xf numFmtId="3" fontId="9" fillId="6" borderId="9" xfId="0" applyNumberFormat="1" applyFont="1" applyFill="1" applyBorder="1" applyAlignment="1">
      <alignment horizontal="center" vertical="center"/>
    </xf>
    <xf numFmtId="3" fontId="9" fillId="6" borderId="7" xfId="0" applyNumberFormat="1" applyFont="1" applyFill="1" applyBorder="1" applyAlignment="1">
      <alignment horizontal="center" vertical="center"/>
    </xf>
    <xf numFmtId="165" fontId="9" fillId="6" borderId="8" xfId="1" applyNumberFormat="1" applyFont="1" applyFill="1" applyBorder="1" applyAlignment="1">
      <alignment horizontal="center" vertical="center"/>
    </xf>
    <xf numFmtId="3" fontId="10" fillId="5" borderId="5" xfId="0" applyNumberFormat="1" applyFont="1" applyFill="1" applyBorder="1" applyAlignment="1">
      <alignment horizontal="left" vertical="center"/>
    </xf>
    <xf numFmtId="3" fontId="9" fillId="5" borderId="7" xfId="0" applyNumberFormat="1" applyFont="1" applyFill="1" applyBorder="1" applyAlignment="1">
      <alignment horizontal="center" vertical="center"/>
    </xf>
    <xf numFmtId="165" fontId="9" fillId="5" borderId="8" xfId="1" applyNumberFormat="1" applyFont="1" applyFill="1" applyBorder="1" applyAlignment="1">
      <alignment horizontal="center" vertical="center"/>
    </xf>
    <xf numFmtId="10" fontId="9" fillId="5" borderId="8" xfId="1" applyNumberFormat="1" applyFont="1" applyFill="1" applyBorder="1" applyAlignment="1">
      <alignment horizontal="center" vertical="center"/>
    </xf>
    <xf numFmtId="0" fontId="8" fillId="0" borderId="49" xfId="0" applyFont="1" applyBorder="1"/>
    <xf numFmtId="3" fontId="9" fillId="8" borderId="49" xfId="0" applyNumberFormat="1" applyFont="1" applyFill="1" applyBorder="1" applyAlignment="1">
      <alignment horizontal="center" vertical="center"/>
    </xf>
    <xf numFmtId="4" fontId="8" fillId="0" borderId="0" xfId="0" applyNumberFormat="1" applyFont="1"/>
    <xf numFmtId="9" fontId="8" fillId="0" borderId="0" xfId="1" applyFont="1"/>
    <xf numFmtId="0" fontId="3" fillId="0" borderId="3" xfId="0" applyFont="1" applyBorder="1"/>
    <xf numFmtId="166" fontId="8" fillId="0" borderId="0" xfId="0" applyNumberFormat="1" applyFont="1"/>
    <xf numFmtId="10" fontId="8" fillId="0" borderId="0" xfId="1" applyNumberFormat="1" applyFont="1"/>
    <xf numFmtId="2" fontId="8" fillId="0" borderId="0" xfId="0" applyNumberFormat="1" applyFont="1"/>
    <xf numFmtId="164" fontId="9" fillId="5" borderId="11" xfId="4" applyNumberFormat="1" applyFont="1" applyFill="1" applyBorder="1" applyAlignment="1">
      <alignment horizontal="center" vertical="center"/>
    </xf>
    <xf numFmtId="164" fontId="9" fillId="6" borderId="11" xfId="4" applyNumberFormat="1" applyFont="1" applyFill="1" applyBorder="1" applyAlignment="1">
      <alignment horizontal="center" vertical="center"/>
    </xf>
    <xf numFmtId="164" fontId="9" fillId="7" borderId="7" xfId="4" applyNumberFormat="1" applyFont="1" applyFill="1" applyBorder="1" applyAlignment="1">
      <alignment horizontal="center" vertical="center"/>
    </xf>
    <xf numFmtId="164" fontId="11" fillId="0" borderId="16" xfId="4" applyNumberFormat="1" applyFont="1" applyFill="1" applyBorder="1" applyAlignment="1">
      <alignment horizontal="center" vertical="center"/>
    </xf>
    <xf numFmtId="164" fontId="11" fillId="0" borderId="23" xfId="4" applyNumberFormat="1" applyFont="1" applyFill="1" applyBorder="1" applyAlignment="1">
      <alignment horizontal="center" vertical="center"/>
    </xf>
    <xf numFmtId="164" fontId="9" fillId="7" borderId="25" xfId="4" applyNumberFormat="1" applyFont="1" applyFill="1" applyBorder="1" applyAlignment="1">
      <alignment horizontal="center" vertical="center"/>
    </xf>
    <xf numFmtId="164" fontId="11" fillId="0" borderId="30" xfId="4" applyNumberFormat="1" applyFont="1" applyFill="1" applyBorder="1" applyAlignment="1">
      <alignment horizontal="center" vertical="center"/>
    </xf>
    <xf numFmtId="164" fontId="11" fillId="0" borderId="35" xfId="4" applyNumberFormat="1" applyFont="1" applyFill="1" applyBorder="1" applyAlignment="1">
      <alignment horizontal="center" vertical="center"/>
    </xf>
    <xf numFmtId="164" fontId="11" fillId="0" borderId="40" xfId="4" applyNumberFormat="1" applyFont="1" applyFill="1" applyBorder="1" applyAlignment="1">
      <alignment horizontal="center" vertical="center"/>
    </xf>
    <xf numFmtId="164" fontId="11" fillId="0" borderId="28" xfId="4" applyNumberFormat="1" applyFont="1" applyFill="1" applyBorder="1" applyAlignment="1">
      <alignment horizontal="center" vertical="center"/>
    </xf>
    <xf numFmtId="164" fontId="9" fillId="7" borderId="38" xfId="4" applyNumberFormat="1" applyFont="1" applyFill="1" applyBorder="1" applyAlignment="1">
      <alignment horizontal="center" vertical="center"/>
    </xf>
    <xf numFmtId="164" fontId="11" fillId="0" borderId="16" xfId="4" applyNumberFormat="1" applyFont="1" applyFill="1" applyBorder="1" applyAlignment="1">
      <alignment horizontal="right" vertical="center"/>
    </xf>
    <xf numFmtId="164" fontId="11" fillId="0" borderId="40" xfId="4" applyNumberFormat="1" applyFont="1" applyFill="1" applyBorder="1" applyAlignment="1">
      <alignment horizontal="right" vertical="center"/>
    </xf>
    <xf numFmtId="164" fontId="11" fillId="0" borderId="35" xfId="4" applyNumberFormat="1" applyFont="1" applyFill="1" applyBorder="1" applyAlignment="1">
      <alignment horizontal="right" vertical="center"/>
    </xf>
    <xf numFmtId="164" fontId="11" fillId="0" borderId="11" xfId="4" applyNumberFormat="1" applyFont="1" applyFill="1" applyBorder="1" applyAlignment="1">
      <alignment horizontal="center" vertical="center"/>
    </xf>
    <xf numFmtId="164" fontId="9" fillId="6" borderId="7" xfId="4" applyNumberFormat="1" applyFont="1" applyFill="1" applyBorder="1" applyAlignment="1">
      <alignment horizontal="center" vertical="center"/>
    </xf>
    <xf numFmtId="164" fontId="9" fillId="5" borderId="7" xfId="4" applyNumberFormat="1" applyFont="1" applyFill="1" applyBorder="1" applyAlignment="1">
      <alignment horizontal="center" vertical="center"/>
    </xf>
    <xf numFmtId="164" fontId="8" fillId="0" borderId="49" xfId="0" applyNumberFormat="1" applyFont="1" applyBorder="1"/>
    <xf numFmtId="3" fontId="8" fillId="0" borderId="4" xfId="0" applyNumberFormat="1" applyFont="1" applyBorder="1" applyAlignment="1">
      <alignment wrapText="1"/>
    </xf>
    <xf numFmtId="0" fontId="8" fillId="0" borderId="49" xfId="0" applyFont="1" applyBorder="1" applyAlignment="1">
      <alignment wrapText="1"/>
    </xf>
    <xf numFmtId="0" fontId="8" fillId="0" borderId="0" xfId="0" applyFont="1" applyAlignment="1">
      <alignment wrapText="1"/>
    </xf>
  </cellXfs>
  <cellStyles count="5">
    <cellStyle name="Comma 2" xfId="4" xr:uid="{DEBE6970-8B01-4D81-B7C7-8D0D00FFB910}"/>
    <cellStyle name="Comma 3" xfId="3" xr:uid="{52E7DFD0-CB0E-46B9-A72D-947997F6877C}"/>
    <cellStyle name="Normal" xfId="0" builtinId="0"/>
    <cellStyle name="Normal 2" xfId="2" xr:uid="{9AE94705-BC25-43EE-899B-4B8E8F9F604D}"/>
    <cellStyle name="Percent" xfId="1" builtinId="5"/>
  </cellStyles>
  <dxfs count="5">
    <dxf>
      <fill>
        <patternFill patternType="solid">
          <fgColor rgb="FFDA9694"/>
          <bgColor rgb="FF00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_(* #,##0_);_(* \(#,##0\);_(* &quot;-&quot;??_);_(@_)"/>
    </dxf>
    <dxf>
      <alignment horizontal="left" vertical="bottom" textRotation="0" wrapText="0" indent="1" justifyLastLine="0" shrinkToFit="0" readingOrder="0"/>
    </dxf>
    <dxf>
      <border outline="0"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DC5B216-CFD6-4470-AA4C-4478E6D677C4}" name="Tableau1" displayName="Tableau1" ref="A4:B134" totalsRowShown="0" headerRowDxfId="4" headerRowBorderDxfId="3">
  <autoFilter ref="A4:B134" xr:uid="{00000000-0009-0000-0100-000004000000}"/>
  <tableColumns count="2">
    <tableColumn id="1" xr3:uid="{E468B5FA-AC53-4134-8448-80DF8542B2DE}" name="MINISTÈRE/ CATÉGORIE" dataDxfId="2"/>
    <tableColumn id="2" xr3:uid="{88C73870-C971-4A2A-A2F9-C460BE3385C8}" name="Nombre d'employés" dataDxfId="1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02AE3-07F6-452D-8F4A-D8B1024FF55D}">
  <sheetPr filterMode="1">
    <pageSetUpPr autoPageBreaks="0"/>
  </sheetPr>
  <dimension ref="A2:L180"/>
  <sheetViews>
    <sheetView view="pageBreakPreview" topLeftCell="B1" zoomScale="90" zoomScaleNormal="100" zoomScaleSheetLayoutView="90" workbookViewId="0">
      <selection activeCell="A3" sqref="A3:J4"/>
    </sheetView>
  </sheetViews>
  <sheetFormatPr defaultColWidth="9.1796875" defaultRowHeight="15.5" x14ac:dyDescent="0.35"/>
  <cols>
    <col min="1" max="1" width="16.54296875" style="12" customWidth="1"/>
    <col min="2" max="2" width="63.08984375" style="134" customWidth="1"/>
    <col min="3" max="3" width="16.36328125" style="12" customWidth="1"/>
    <col min="4" max="4" width="10.6328125" style="12" customWidth="1"/>
    <col min="5" max="5" width="8.1796875" style="12" customWidth="1"/>
    <col min="6" max="6" width="9.1796875" style="12" bestFit="1" customWidth="1"/>
    <col min="7" max="7" width="15.453125" style="15" customWidth="1"/>
    <col min="8" max="8" width="17.6328125" style="12" customWidth="1"/>
    <col min="9" max="9" width="16.36328125" style="15" customWidth="1"/>
    <col min="10" max="10" width="14.26953125" style="12" customWidth="1"/>
    <col min="11" max="11" width="33" style="12" customWidth="1"/>
    <col min="12" max="16384" width="9.1796875" style="12"/>
  </cols>
  <sheetData>
    <row r="2" spans="1:10" ht="21.75" customHeight="1" x14ac:dyDescent="0.35">
      <c r="A2" s="11" t="s">
        <v>38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8.75" customHeight="1" x14ac:dyDescent="0.35">
      <c r="A3" s="11" t="s">
        <v>39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20.25" customHeight="1" x14ac:dyDescent="0.35">
      <c r="A4" s="11" t="s">
        <v>40</v>
      </c>
      <c r="B4" s="11"/>
      <c r="C4" s="11"/>
      <c r="D4" s="11"/>
      <c r="E4" s="11"/>
      <c r="F4" s="11"/>
      <c r="G4" s="11"/>
      <c r="H4" s="11"/>
      <c r="I4" s="11"/>
      <c r="J4" s="11"/>
    </row>
    <row r="5" spans="1:10" ht="18.75" customHeight="1" x14ac:dyDescent="0.35">
      <c r="A5" s="11" t="s">
        <v>41</v>
      </c>
      <c r="B5" s="11"/>
      <c r="C5" s="11"/>
      <c r="D5" s="11"/>
      <c r="E5" s="11"/>
      <c r="F5" s="11"/>
      <c r="G5" s="11"/>
      <c r="H5" s="11"/>
      <c r="I5" s="11"/>
      <c r="J5" s="11"/>
    </row>
    <row r="6" spans="1:10" ht="12.75" customHeight="1" thickBot="1" x14ac:dyDescent="0.4">
      <c r="A6" s="13"/>
      <c r="B6" s="132"/>
      <c r="C6" s="14"/>
      <c r="D6" s="14"/>
      <c r="H6" s="14"/>
      <c r="I6" s="13"/>
    </row>
    <row r="7" spans="1:10" ht="70" customHeight="1" thickBot="1" x14ac:dyDescent="0.4">
      <c r="A7" s="16" t="s">
        <v>42</v>
      </c>
      <c r="B7" s="17" t="s">
        <v>160</v>
      </c>
      <c r="C7" s="18" t="s">
        <v>43</v>
      </c>
      <c r="D7" s="19" t="s">
        <v>44</v>
      </c>
      <c r="E7" s="20" t="s">
        <v>45</v>
      </c>
      <c r="F7" s="21"/>
      <c r="G7" s="22" t="s">
        <v>46</v>
      </c>
      <c r="H7" s="19" t="s">
        <v>47</v>
      </c>
      <c r="I7" s="20" t="s">
        <v>45</v>
      </c>
      <c r="J7" s="21"/>
    </row>
    <row r="8" spans="1:10" ht="16.5" hidden="1" customHeight="1" thickBot="1" x14ac:dyDescent="0.4">
      <c r="A8" s="23">
        <v>1</v>
      </c>
      <c r="B8" s="24" t="s">
        <v>48</v>
      </c>
      <c r="C8" s="25">
        <f>+C9+C54+C90+C114</f>
        <v>93841</v>
      </c>
      <c r="D8" s="26">
        <f>+D9+D54+D90+D114</f>
        <v>98053</v>
      </c>
      <c r="E8" s="26">
        <f>+E9+E54+E90+E114</f>
        <v>4212</v>
      </c>
      <c r="F8" s="27">
        <f>+E8/C8</f>
        <v>4.4884432177832716E-2</v>
      </c>
      <c r="G8" s="114">
        <f>+G9+G54+G90+G114</f>
        <v>3383494905.6700001</v>
      </c>
      <c r="H8" s="114">
        <f>+H9+H54+H90+H114</f>
        <v>3577750247.8299999</v>
      </c>
      <c r="I8" s="114">
        <f>+I9+I54+I90+I114</f>
        <v>194255342.16</v>
      </c>
      <c r="J8" s="27">
        <f>+I8/G8</f>
        <v>5.7412630305566703E-2</v>
      </c>
    </row>
    <row r="9" spans="1:10" ht="17.25" hidden="1" customHeight="1" thickBot="1" x14ac:dyDescent="0.4">
      <c r="A9" s="28">
        <v>11</v>
      </c>
      <c r="B9" s="29" t="s">
        <v>49</v>
      </c>
      <c r="C9" s="30">
        <f>+C10+C16+C25+C31+C40+C45+C50</f>
        <v>9173</v>
      </c>
      <c r="D9" s="31">
        <f>+D10+D16+D25+D31+D40+D45+D50</f>
        <v>9791</v>
      </c>
      <c r="E9" s="31">
        <f>+E10+E16+E25+E31+E40+E45+E50</f>
        <v>618</v>
      </c>
      <c r="F9" s="32">
        <f>+E9/C9</f>
        <v>6.7371634143682552E-2</v>
      </c>
      <c r="G9" s="115">
        <f>+G10+G16+G25+G31+G40+G45+G50</f>
        <v>407923431.67000002</v>
      </c>
      <c r="H9" s="115">
        <f>+H10+H16+H25+H31+H40+H45+H50</f>
        <v>436330698.32999998</v>
      </c>
      <c r="I9" s="115">
        <f>+I10+I16+I25+I31+I40+I45+I50</f>
        <v>28407266.659999996</v>
      </c>
      <c r="J9" s="32">
        <f t="shared" ref="J9:J75" si="0">+I9/G9</f>
        <v>6.9638722501679615E-2</v>
      </c>
    </row>
    <row r="10" spans="1:10" ht="37.5" customHeight="1" thickBot="1" x14ac:dyDescent="0.4">
      <c r="A10" s="33">
        <v>1111</v>
      </c>
      <c r="B10" s="34" t="s">
        <v>50</v>
      </c>
      <c r="C10" s="35">
        <f>+C11+C12+C13+C14+C15</f>
        <v>737</v>
      </c>
      <c r="D10" s="36">
        <f>+D11+D12+D13+D14+D15</f>
        <v>748</v>
      </c>
      <c r="E10" s="36">
        <f>+E11+E12+E13+E14+E15</f>
        <v>11</v>
      </c>
      <c r="F10" s="37">
        <f t="shared" ref="F10:F76" si="1">+E10/C10</f>
        <v>1.4925373134328358E-2</v>
      </c>
      <c r="G10" s="116">
        <f>+G11+G12+G13+G14+G15</f>
        <v>33857150</v>
      </c>
      <c r="H10" s="116">
        <f>+H11+H12+H13+H14+H15</f>
        <v>34807383.329999998</v>
      </c>
      <c r="I10" s="116">
        <f>+I11+I12+I13+I14+I15</f>
        <v>950233.32999999821</v>
      </c>
      <c r="J10" s="37">
        <f t="shared" si="0"/>
        <v>2.806595741224522E-2</v>
      </c>
    </row>
    <row r="11" spans="1:10" ht="16" hidden="1" thickBot="1" x14ac:dyDescent="0.4">
      <c r="A11" s="38">
        <v>1111111</v>
      </c>
      <c r="B11" s="39" t="s">
        <v>51</v>
      </c>
      <c r="C11" s="40">
        <f>10+1</f>
        <v>11</v>
      </c>
      <c r="D11" s="41">
        <f>11+1</f>
        <v>12</v>
      </c>
      <c r="E11" s="41">
        <f>+D11-C11</f>
        <v>1</v>
      </c>
      <c r="F11" s="42">
        <f>+E11/C11</f>
        <v>9.0909090909090912E-2</v>
      </c>
      <c r="G11" s="117">
        <f>423500+146350</f>
        <v>569850</v>
      </c>
      <c r="H11" s="117">
        <f>498500+146350</f>
        <v>644850</v>
      </c>
      <c r="I11" s="117">
        <f>+H11-G11</f>
        <v>75000</v>
      </c>
      <c r="J11" s="42">
        <f t="shared" si="0"/>
        <v>0.13161358252171623</v>
      </c>
    </row>
    <row r="12" spans="1:10" ht="29.25" hidden="1" customHeight="1" x14ac:dyDescent="0.4">
      <c r="A12" s="43">
        <v>1111112</v>
      </c>
      <c r="B12" s="44" t="s">
        <v>52</v>
      </c>
      <c r="C12" s="40">
        <f>582+1</f>
        <v>583</v>
      </c>
      <c r="D12" s="41">
        <f>588+1</f>
        <v>589</v>
      </c>
      <c r="E12" s="41">
        <f>+D12-C12</f>
        <v>6</v>
      </c>
      <c r="F12" s="42">
        <f t="shared" si="1"/>
        <v>1.0291595197255575E-2</v>
      </c>
      <c r="G12" s="117">
        <f>26422250+101900</f>
        <v>26524150</v>
      </c>
      <c r="H12" s="117">
        <f>27057283.33+101900</f>
        <v>27159183.329999998</v>
      </c>
      <c r="I12" s="117">
        <f>+H12-G12</f>
        <v>635033.32999999821</v>
      </c>
      <c r="J12" s="42">
        <f t="shared" si="0"/>
        <v>2.394170331565755E-2</v>
      </c>
    </row>
    <row r="13" spans="1:10" ht="16" hidden="1" thickBot="1" x14ac:dyDescent="0.4">
      <c r="A13" s="43">
        <v>1111113</v>
      </c>
      <c r="B13" s="44" t="s">
        <v>53</v>
      </c>
      <c r="C13" s="40">
        <f>61</f>
        <v>61</v>
      </c>
      <c r="D13" s="41">
        <f>61</f>
        <v>61</v>
      </c>
      <c r="E13" s="41">
        <f>+D13-C13</f>
        <v>0</v>
      </c>
      <c r="F13" s="42">
        <f t="shared" si="1"/>
        <v>0</v>
      </c>
      <c r="G13" s="117">
        <f>3063450</f>
        <v>3063450</v>
      </c>
      <c r="H13" s="117">
        <f>3032050</f>
        <v>3032050</v>
      </c>
      <c r="I13" s="117">
        <f>+H13-G13</f>
        <v>-31400</v>
      </c>
      <c r="J13" s="42">
        <f t="shared" si="0"/>
        <v>-1.0249881669359709E-2</v>
      </c>
    </row>
    <row r="14" spans="1:10" ht="27" hidden="1" customHeight="1" x14ac:dyDescent="0.4">
      <c r="A14" s="43">
        <v>1111114</v>
      </c>
      <c r="B14" s="44" t="s">
        <v>54</v>
      </c>
      <c r="C14" s="40">
        <f>27+1</f>
        <v>28</v>
      </c>
      <c r="D14" s="41">
        <f>28+1</f>
        <v>29</v>
      </c>
      <c r="E14" s="41">
        <f>+D14-C14</f>
        <v>1</v>
      </c>
      <c r="F14" s="42">
        <f t="shared" si="1"/>
        <v>3.5714285714285712E-2</v>
      </c>
      <c r="G14" s="117">
        <f>1087150+101900</f>
        <v>1189050</v>
      </c>
      <c r="H14" s="117">
        <f>1151650+101900</f>
        <v>1253550</v>
      </c>
      <c r="I14" s="117">
        <f>+H14-G14</f>
        <v>64500</v>
      </c>
      <c r="J14" s="42">
        <f t="shared" si="0"/>
        <v>5.4244985492620156E-2</v>
      </c>
    </row>
    <row r="15" spans="1:10" ht="32.25" hidden="1" customHeight="1" thickBot="1" x14ac:dyDescent="0.4">
      <c r="A15" s="45">
        <v>1111115</v>
      </c>
      <c r="B15" s="46" t="s">
        <v>55</v>
      </c>
      <c r="C15" s="47">
        <f>53+1</f>
        <v>54</v>
      </c>
      <c r="D15" s="48">
        <f>56+1</f>
        <v>57</v>
      </c>
      <c r="E15" s="41">
        <f>+D15-C15</f>
        <v>3</v>
      </c>
      <c r="F15" s="49">
        <f t="shared" si="1"/>
        <v>5.5555555555555552E-2</v>
      </c>
      <c r="G15" s="118">
        <f>2408750+101900</f>
        <v>2510650</v>
      </c>
      <c r="H15" s="118">
        <f>2615850+101900</f>
        <v>2717750</v>
      </c>
      <c r="I15" s="118">
        <f>+H15-G15</f>
        <v>207100</v>
      </c>
      <c r="J15" s="49">
        <f t="shared" si="0"/>
        <v>8.2488598570091415E-2</v>
      </c>
    </row>
    <row r="16" spans="1:10" ht="29.25" customHeight="1" thickBot="1" x14ac:dyDescent="0.4">
      <c r="A16" s="33">
        <v>1112</v>
      </c>
      <c r="B16" s="34" t="s">
        <v>56</v>
      </c>
      <c r="C16" s="35">
        <f t="shared" ref="C16:H16" si="2">+C17+C18+C19+C20+C21+C22+C23+C24</f>
        <v>4357</v>
      </c>
      <c r="D16" s="36">
        <f>+D17+D18+D19+D20+D21+D22+D23+D24</f>
        <v>4432</v>
      </c>
      <c r="E16" s="36">
        <f>+E17+E18+E19+E20+E21+E22+E23+E24</f>
        <v>75</v>
      </c>
      <c r="F16" s="37">
        <f t="shared" si="1"/>
        <v>1.7213679137020887E-2</v>
      </c>
      <c r="G16" s="116">
        <f t="shared" si="2"/>
        <v>203276506.67000002</v>
      </c>
      <c r="H16" s="116">
        <f t="shared" si="2"/>
        <v>208325590</v>
      </c>
      <c r="I16" s="116">
        <f>+I17+I18+I19+I20+I21+I22+I23+I24</f>
        <v>5049083.3299999982</v>
      </c>
      <c r="J16" s="37">
        <f t="shared" si="0"/>
        <v>2.4838499109967008E-2</v>
      </c>
    </row>
    <row r="17" spans="1:11" ht="16" hidden="1" thickBot="1" x14ac:dyDescent="0.4">
      <c r="A17" s="38">
        <v>1112111</v>
      </c>
      <c r="B17" s="39" t="s">
        <v>51</v>
      </c>
      <c r="C17" s="40">
        <f>6+1</f>
        <v>7</v>
      </c>
      <c r="D17" s="41">
        <f>7+1</f>
        <v>8</v>
      </c>
      <c r="E17" s="41">
        <f t="shared" ref="E17:E24" si="3">+D17-C17</f>
        <v>1</v>
      </c>
      <c r="F17" s="42">
        <f t="shared" si="1"/>
        <v>0.14285714285714285</v>
      </c>
      <c r="G17" s="117">
        <f>316300+146350</f>
        <v>462650</v>
      </c>
      <c r="H17" s="117">
        <f>367600+146350</f>
        <v>513950</v>
      </c>
      <c r="I17" s="117">
        <f t="shared" ref="I17:I24" si="4">+H17-G17</f>
        <v>51300</v>
      </c>
      <c r="J17" s="42">
        <f t="shared" si="0"/>
        <v>0.11088295687885011</v>
      </c>
    </row>
    <row r="18" spans="1:11" ht="29.25" hidden="1" customHeight="1" x14ac:dyDescent="0.4">
      <c r="A18" s="43">
        <v>1112112</v>
      </c>
      <c r="B18" s="44" t="s">
        <v>52</v>
      </c>
      <c r="C18" s="40">
        <f>621+5</f>
        <v>626</v>
      </c>
      <c r="D18" s="41">
        <f>733+5</f>
        <v>738</v>
      </c>
      <c r="E18" s="41">
        <f t="shared" si="3"/>
        <v>112</v>
      </c>
      <c r="F18" s="42">
        <f t="shared" si="1"/>
        <v>0.17891373801916932</v>
      </c>
      <c r="G18" s="117">
        <f>32025340+467100</f>
        <v>32492440</v>
      </c>
      <c r="H18" s="117">
        <f>36456140+467100</f>
        <v>36923240</v>
      </c>
      <c r="I18" s="117">
        <f t="shared" si="4"/>
        <v>4430800</v>
      </c>
      <c r="J18" s="42">
        <f t="shared" si="0"/>
        <v>0.13636402806314329</v>
      </c>
    </row>
    <row r="19" spans="1:11" ht="32.25" hidden="1" customHeight="1" x14ac:dyDescent="0.4">
      <c r="A19" s="43">
        <v>1112122</v>
      </c>
      <c r="B19" s="44" t="s">
        <v>57</v>
      </c>
      <c r="C19" s="40">
        <f>29</f>
        <v>29</v>
      </c>
      <c r="D19" s="41">
        <f>20</f>
        <v>20</v>
      </c>
      <c r="E19" s="41">
        <f t="shared" si="3"/>
        <v>-9</v>
      </c>
      <c r="F19" s="42">
        <f t="shared" si="1"/>
        <v>-0.31034482758620691</v>
      </c>
      <c r="G19" s="117">
        <f>1156850</f>
        <v>1156850</v>
      </c>
      <c r="H19" s="117">
        <f>839450</f>
        <v>839450</v>
      </c>
      <c r="I19" s="117">
        <f t="shared" si="4"/>
        <v>-317400</v>
      </c>
      <c r="J19" s="42">
        <f t="shared" si="0"/>
        <v>-0.27436573453775337</v>
      </c>
    </row>
    <row r="20" spans="1:11" ht="37.5" hidden="1" customHeight="1" x14ac:dyDescent="0.4">
      <c r="A20" s="43">
        <v>1112213</v>
      </c>
      <c r="B20" s="44" t="s">
        <v>58</v>
      </c>
      <c r="C20" s="40">
        <f>69+2</f>
        <v>71</v>
      </c>
      <c r="D20" s="41">
        <f>80+2</f>
        <v>82</v>
      </c>
      <c r="E20" s="41">
        <f t="shared" si="3"/>
        <v>11</v>
      </c>
      <c r="F20" s="42">
        <f t="shared" si="1"/>
        <v>0.15492957746478872</v>
      </c>
      <c r="G20" s="117">
        <f>3094350+193200</f>
        <v>3287550</v>
      </c>
      <c r="H20" s="117">
        <f>3631850+193200</f>
        <v>3825050</v>
      </c>
      <c r="I20" s="117">
        <f t="shared" si="4"/>
        <v>537500</v>
      </c>
      <c r="J20" s="42">
        <f t="shared" si="0"/>
        <v>0.16349561223403447</v>
      </c>
    </row>
    <row r="21" spans="1:11" ht="23.25" hidden="1" customHeight="1" x14ac:dyDescent="0.4">
      <c r="A21" s="43">
        <v>1112214</v>
      </c>
      <c r="B21" s="44" t="s">
        <v>59</v>
      </c>
      <c r="C21" s="40">
        <f>142+2</f>
        <v>144</v>
      </c>
      <c r="D21" s="41">
        <f>143+2</f>
        <v>145</v>
      </c>
      <c r="E21" s="41">
        <f t="shared" si="3"/>
        <v>1</v>
      </c>
      <c r="F21" s="42">
        <f t="shared" si="1"/>
        <v>6.9444444444444441E-3</v>
      </c>
      <c r="G21" s="117">
        <f>7076450+193200</f>
        <v>7269650</v>
      </c>
      <c r="H21" s="117">
        <f>7138350+193200</f>
        <v>7331550</v>
      </c>
      <c r="I21" s="117">
        <f t="shared" si="4"/>
        <v>61900</v>
      </c>
      <c r="J21" s="42">
        <f t="shared" si="0"/>
        <v>8.5148528471109333E-3</v>
      </c>
    </row>
    <row r="22" spans="1:11" ht="24" hidden="1" customHeight="1" x14ac:dyDescent="0.4">
      <c r="A22" s="43">
        <v>1112215</v>
      </c>
      <c r="B22" s="44" t="s">
        <v>60</v>
      </c>
      <c r="C22" s="40">
        <f>1773+2</f>
        <v>1775</v>
      </c>
      <c r="D22" s="41">
        <f>1728+2</f>
        <v>1730</v>
      </c>
      <c r="E22" s="41">
        <f t="shared" si="3"/>
        <v>-45</v>
      </c>
      <c r="F22" s="42">
        <f t="shared" si="1"/>
        <v>-2.5352112676056339E-2</v>
      </c>
      <c r="G22" s="117">
        <f>74715866.67+193200</f>
        <v>74909066.670000002</v>
      </c>
      <c r="H22" s="117">
        <f>74263450+193200</f>
        <v>74456650</v>
      </c>
      <c r="I22" s="117">
        <f t="shared" si="4"/>
        <v>-452416.67000000179</v>
      </c>
      <c r="J22" s="42">
        <f t="shared" si="0"/>
        <v>-6.039544879033824E-3</v>
      </c>
    </row>
    <row r="23" spans="1:11" ht="29.25" hidden="1" customHeight="1" x14ac:dyDescent="0.4">
      <c r="A23" s="43">
        <v>1112216</v>
      </c>
      <c r="B23" s="44" t="s">
        <v>61</v>
      </c>
      <c r="C23" s="40">
        <f>1641+2</f>
        <v>1643</v>
      </c>
      <c r="D23" s="41">
        <f>1648+2</f>
        <v>1650</v>
      </c>
      <c r="E23" s="41">
        <f t="shared" si="3"/>
        <v>7</v>
      </c>
      <c r="F23" s="42">
        <f t="shared" si="1"/>
        <v>4.2604990870359098E-3</v>
      </c>
      <c r="G23" s="117">
        <f>80221550+193200</f>
        <v>80414750</v>
      </c>
      <c r="H23" s="117">
        <f>81088600+193200</f>
        <v>81281800</v>
      </c>
      <c r="I23" s="117">
        <f t="shared" si="4"/>
        <v>867050</v>
      </c>
      <c r="J23" s="42">
        <f t="shared" si="0"/>
        <v>1.0782225897612067E-2</v>
      </c>
    </row>
    <row r="24" spans="1:11" ht="31.5" hidden="1" customHeight="1" thickBot="1" x14ac:dyDescent="0.4">
      <c r="A24" s="45">
        <v>1112225</v>
      </c>
      <c r="B24" s="46" t="s">
        <v>62</v>
      </c>
      <c r="C24" s="47">
        <f>61+1</f>
        <v>62</v>
      </c>
      <c r="D24" s="48">
        <f>59</f>
        <v>59</v>
      </c>
      <c r="E24" s="41">
        <f t="shared" si="3"/>
        <v>-3</v>
      </c>
      <c r="F24" s="49">
        <f t="shared" si="1"/>
        <v>-4.8387096774193547E-2</v>
      </c>
      <c r="G24" s="117">
        <f>3150050+133500</f>
        <v>3283550</v>
      </c>
      <c r="H24" s="117">
        <f>3153900</f>
        <v>3153900</v>
      </c>
      <c r="I24" s="117">
        <f t="shared" si="4"/>
        <v>-129650</v>
      </c>
      <c r="J24" s="49">
        <f t="shared" si="0"/>
        <v>-3.9484704055062353E-2</v>
      </c>
    </row>
    <row r="25" spans="1:11" ht="44.25" customHeight="1" thickBot="1" x14ac:dyDescent="0.4">
      <c r="A25" s="33">
        <v>1113</v>
      </c>
      <c r="B25" s="34" t="s">
        <v>63</v>
      </c>
      <c r="C25" s="35">
        <f>+C26+C27+C28+C29+C30</f>
        <v>1136</v>
      </c>
      <c r="D25" s="36">
        <f>+D26+D27+D28+D29+D30</f>
        <v>1414</v>
      </c>
      <c r="E25" s="36">
        <f>+E26+E27+E28+E29+E30</f>
        <v>278</v>
      </c>
      <c r="F25" s="37">
        <f>+E25/C25</f>
        <v>0.24471830985915494</v>
      </c>
      <c r="G25" s="119">
        <f>+G26+G27+G28+G29+G30</f>
        <v>49775100</v>
      </c>
      <c r="H25" s="119">
        <f>+H26+H27+H28+H29+H30</f>
        <v>59887850</v>
      </c>
      <c r="I25" s="119">
        <f>+I26+I27+I28+I29+I30</f>
        <v>10112750</v>
      </c>
      <c r="J25" s="37">
        <f>+I25/G25</f>
        <v>0.20316885350305675</v>
      </c>
    </row>
    <row r="26" spans="1:11" ht="16" hidden="1" thickBot="1" x14ac:dyDescent="0.4">
      <c r="A26" s="38">
        <v>1113111</v>
      </c>
      <c r="B26" s="39" t="s">
        <v>51</v>
      </c>
      <c r="C26" s="41">
        <f>35+1</f>
        <v>36</v>
      </c>
      <c r="D26" s="41">
        <f>36+1</f>
        <v>37</v>
      </c>
      <c r="E26" s="41">
        <f>+D26-C26</f>
        <v>1</v>
      </c>
      <c r="F26" s="42">
        <f t="shared" si="1"/>
        <v>2.7777777777777776E-2</v>
      </c>
      <c r="G26" s="117">
        <f>1665200+146350</f>
        <v>1811550</v>
      </c>
      <c r="H26" s="117">
        <f>1852900+146350</f>
        <v>1999250</v>
      </c>
      <c r="I26" s="117">
        <f>+H26-G26</f>
        <v>187700</v>
      </c>
      <c r="J26" s="50">
        <f t="shared" si="0"/>
        <v>0.103612928155447</v>
      </c>
    </row>
    <row r="27" spans="1:11" ht="28.5" hidden="1" customHeight="1" x14ac:dyDescent="0.4">
      <c r="A27" s="43">
        <v>1113112</v>
      </c>
      <c r="B27" s="44" t="s">
        <v>52</v>
      </c>
      <c r="C27" s="41">
        <f>853+1</f>
        <v>854</v>
      </c>
      <c r="D27" s="41">
        <f>1093+1</f>
        <v>1094</v>
      </c>
      <c r="E27" s="41">
        <f>+D27-C27</f>
        <v>240</v>
      </c>
      <c r="F27" s="42">
        <f>+E27/C27</f>
        <v>0.28103044496487117</v>
      </c>
      <c r="G27" s="117">
        <f>38024400+101900</f>
        <v>38126300</v>
      </c>
      <c r="H27" s="117">
        <f>46333550+101900</f>
        <v>46435450</v>
      </c>
      <c r="I27" s="117">
        <f>+H27-G27</f>
        <v>8309150</v>
      </c>
      <c r="J27" s="42">
        <f t="shared" si="0"/>
        <v>0.21793748672176425</v>
      </c>
    </row>
    <row r="28" spans="1:11" ht="28.5" hidden="1" customHeight="1" x14ac:dyDescent="0.4">
      <c r="A28" s="43">
        <v>1113113</v>
      </c>
      <c r="B28" s="44" t="s">
        <v>64</v>
      </c>
      <c r="C28" s="41">
        <f>144+1</f>
        <v>145</v>
      </c>
      <c r="D28" s="41">
        <f>135+1</f>
        <v>136</v>
      </c>
      <c r="E28" s="41">
        <f>+D28-C28</f>
        <v>-9</v>
      </c>
      <c r="F28" s="42">
        <f t="shared" si="1"/>
        <v>-6.2068965517241378E-2</v>
      </c>
      <c r="G28" s="117">
        <f>5436250+101900</f>
        <v>5538150</v>
      </c>
      <c r="H28" s="117">
        <f>5044250+101900</f>
        <v>5146150</v>
      </c>
      <c r="I28" s="117">
        <f>+H28-G28</f>
        <v>-392000</v>
      </c>
      <c r="J28" s="42">
        <f t="shared" si="0"/>
        <v>-7.0781759251735687E-2</v>
      </c>
    </row>
    <row r="29" spans="1:11" ht="28.5" hidden="1" customHeight="1" x14ac:dyDescent="0.4">
      <c r="A29" s="45">
        <v>1113114</v>
      </c>
      <c r="B29" s="46" t="s">
        <v>65</v>
      </c>
      <c r="C29" s="48">
        <f>76+1</f>
        <v>77</v>
      </c>
      <c r="D29" s="48">
        <f>114+1</f>
        <v>115</v>
      </c>
      <c r="E29" s="48">
        <f>+D29-C29</f>
        <v>38</v>
      </c>
      <c r="F29" s="49">
        <f t="shared" si="1"/>
        <v>0.4935064935064935</v>
      </c>
      <c r="G29" s="118">
        <f>3236500+101900</f>
        <v>3338400</v>
      </c>
      <c r="H29" s="118">
        <f>4876600+101900</f>
        <v>4978500</v>
      </c>
      <c r="I29" s="118">
        <f>+H29-G29</f>
        <v>1640100</v>
      </c>
      <c r="J29" s="49">
        <f t="shared" si="0"/>
        <v>0.49128324946081953</v>
      </c>
    </row>
    <row r="30" spans="1:11" ht="28.5" hidden="1" customHeight="1" thickBot="1" x14ac:dyDescent="0.4">
      <c r="A30" s="45">
        <v>1113117</v>
      </c>
      <c r="B30" s="51" t="s">
        <v>66</v>
      </c>
      <c r="C30" s="52">
        <v>24</v>
      </c>
      <c r="D30" s="53">
        <f>32</f>
        <v>32</v>
      </c>
      <c r="E30" s="53">
        <f>+D30-C30</f>
        <v>8</v>
      </c>
      <c r="F30" s="54">
        <v>0</v>
      </c>
      <c r="G30" s="120">
        <f>960700</f>
        <v>960700</v>
      </c>
      <c r="H30" s="120">
        <f>1328500</f>
        <v>1328500</v>
      </c>
      <c r="I30" s="120">
        <f>+H30-G30</f>
        <v>367800</v>
      </c>
      <c r="J30" s="54">
        <v>0</v>
      </c>
      <c r="K30" s="55"/>
    </row>
    <row r="31" spans="1:11" ht="43.5" customHeight="1" thickBot="1" x14ac:dyDescent="0.4">
      <c r="A31" s="33">
        <v>1114</v>
      </c>
      <c r="B31" s="34" t="s">
        <v>67</v>
      </c>
      <c r="C31" s="35">
        <f t="shared" ref="C31:H31" si="5">+C32+C33+C34+C35+C36+C37+C38+C39</f>
        <v>1118</v>
      </c>
      <c r="D31" s="36">
        <f t="shared" si="5"/>
        <v>1160</v>
      </c>
      <c r="E31" s="36">
        <f>+E32+E33+E34+E35+E36+E37+E38+E39</f>
        <v>42</v>
      </c>
      <c r="F31" s="37">
        <f t="shared" si="1"/>
        <v>3.7567084078711989E-2</v>
      </c>
      <c r="G31" s="119">
        <f>+G32+G33+G34+G35+G36+G37+G38+G39</f>
        <v>40822500</v>
      </c>
      <c r="H31" s="119">
        <f t="shared" si="5"/>
        <v>42137650</v>
      </c>
      <c r="I31" s="119">
        <f>+I32+I33+I34+I35+I36+I37+I38+I39</f>
        <v>1315150</v>
      </c>
      <c r="J31" s="37">
        <f t="shared" si="0"/>
        <v>3.2216302284279505E-2</v>
      </c>
    </row>
    <row r="32" spans="1:11" ht="16" hidden="1" thickBot="1" x14ac:dyDescent="0.4">
      <c r="A32" s="38">
        <v>1114111</v>
      </c>
      <c r="B32" s="39" t="s">
        <v>51</v>
      </c>
      <c r="C32" s="40">
        <f>26+1</f>
        <v>27</v>
      </c>
      <c r="D32" s="41">
        <f>25+1</f>
        <v>26</v>
      </c>
      <c r="E32" s="41">
        <f t="shared" ref="E32:E39" si="6">+D32-C32</f>
        <v>-1</v>
      </c>
      <c r="F32" s="42">
        <f t="shared" si="1"/>
        <v>-3.7037037037037035E-2</v>
      </c>
      <c r="G32" s="117">
        <f xml:space="preserve"> 982000+146350</f>
        <v>1128350</v>
      </c>
      <c r="H32" s="117">
        <f>953300+146350</f>
        <v>1099650</v>
      </c>
      <c r="I32" s="117">
        <f t="shared" ref="I32:I39" si="7">+H32-G32</f>
        <v>-28700</v>
      </c>
      <c r="J32" s="42">
        <f t="shared" si="0"/>
        <v>-2.543537023086808E-2</v>
      </c>
    </row>
    <row r="33" spans="1:10" ht="25.5" hidden="1" customHeight="1" x14ac:dyDescent="0.4">
      <c r="A33" s="43">
        <v>1114112</v>
      </c>
      <c r="B33" s="44" t="s">
        <v>52</v>
      </c>
      <c r="C33" s="40">
        <f>835+1</f>
        <v>836</v>
      </c>
      <c r="D33" s="41">
        <f>855+1</f>
        <v>856</v>
      </c>
      <c r="E33" s="41">
        <f t="shared" si="6"/>
        <v>20</v>
      </c>
      <c r="F33" s="42">
        <f t="shared" si="1"/>
        <v>2.3923444976076555E-2</v>
      </c>
      <c r="G33" s="117">
        <f>29303850+101900</f>
        <v>29405750</v>
      </c>
      <c r="H33" s="117">
        <f>29769750+101900</f>
        <v>29871650</v>
      </c>
      <c r="I33" s="117">
        <f t="shared" si="7"/>
        <v>465900</v>
      </c>
      <c r="J33" s="42">
        <f t="shared" si="0"/>
        <v>1.5843840065293352E-2</v>
      </c>
    </row>
    <row r="34" spans="1:10" ht="16" hidden="1" thickBot="1" x14ac:dyDescent="0.4">
      <c r="A34" s="43">
        <v>1114115</v>
      </c>
      <c r="B34" s="44" t="s">
        <v>68</v>
      </c>
      <c r="C34" s="40">
        <f>29+1</f>
        <v>30</v>
      </c>
      <c r="D34" s="41">
        <f>28+1</f>
        <v>29</v>
      </c>
      <c r="E34" s="41">
        <f t="shared" si="6"/>
        <v>-1</v>
      </c>
      <c r="F34" s="42">
        <f t="shared" si="1"/>
        <v>-3.3333333333333333E-2</v>
      </c>
      <c r="G34" s="117">
        <f>1191250+101900</f>
        <v>1293150</v>
      </c>
      <c r="H34" s="117">
        <f>1158150+101900</f>
        <v>1260050</v>
      </c>
      <c r="I34" s="117">
        <f t="shared" si="7"/>
        <v>-33100</v>
      </c>
      <c r="J34" s="42">
        <f t="shared" si="0"/>
        <v>-2.5596411862506285E-2</v>
      </c>
    </row>
    <row r="35" spans="1:10" ht="25.5" hidden="1" customHeight="1" x14ac:dyDescent="0.4">
      <c r="A35" s="43">
        <v>1114116</v>
      </c>
      <c r="B35" s="44" t="s">
        <v>69</v>
      </c>
      <c r="C35" s="40">
        <v>90</v>
      </c>
      <c r="D35" s="41">
        <f>121</f>
        <v>121</v>
      </c>
      <c r="E35" s="41">
        <f t="shared" si="6"/>
        <v>31</v>
      </c>
      <c r="F35" s="42">
        <f t="shared" si="1"/>
        <v>0.34444444444444444</v>
      </c>
      <c r="G35" s="117">
        <f>3686400</f>
        <v>3686400</v>
      </c>
      <c r="H35" s="117">
        <v>4916050</v>
      </c>
      <c r="I35" s="117">
        <f t="shared" si="7"/>
        <v>1229650</v>
      </c>
      <c r="J35" s="42">
        <f t="shared" si="0"/>
        <v>0.33356391059027779</v>
      </c>
    </row>
    <row r="36" spans="1:10" ht="25.5" hidden="1" customHeight="1" x14ac:dyDescent="0.4">
      <c r="A36" s="43">
        <v>1114117</v>
      </c>
      <c r="B36" s="44" t="s">
        <v>70</v>
      </c>
      <c r="C36" s="40">
        <f>30+1</f>
        <v>31</v>
      </c>
      <c r="D36" s="41">
        <f>26</f>
        <v>26</v>
      </c>
      <c r="E36" s="41">
        <f t="shared" si="6"/>
        <v>-5</v>
      </c>
      <c r="F36" s="42">
        <f t="shared" si="1"/>
        <v>-0.16129032258064516</v>
      </c>
      <c r="G36" s="117">
        <f>1158450+101900</f>
        <v>1260350</v>
      </c>
      <c r="H36" s="117">
        <v>966650</v>
      </c>
      <c r="I36" s="117">
        <f t="shared" si="7"/>
        <v>-293700</v>
      </c>
      <c r="J36" s="42">
        <f t="shared" si="0"/>
        <v>-0.23303050739873846</v>
      </c>
    </row>
    <row r="37" spans="1:10" ht="32.25" hidden="1" customHeight="1" x14ac:dyDescent="0.4">
      <c r="A37" s="56">
        <v>1114118</v>
      </c>
      <c r="B37" s="44" t="s">
        <v>71</v>
      </c>
      <c r="C37" s="40">
        <v>18</v>
      </c>
      <c r="D37" s="41">
        <f>18+1</f>
        <v>19</v>
      </c>
      <c r="E37" s="41">
        <f t="shared" si="6"/>
        <v>1</v>
      </c>
      <c r="F37" s="42">
        <f t="shared" si="1"/>
        <v>5.5555555555555552E-2</v>
      </c>
      <c r="G37" s="117">
        <f>541450</f>
        <v>541450</v>
      </c>
      <c r="H37" s="117">
        <f>541450+101900</f>
        <v>643350</v>
      </c>
      <c r="I37" s="117">
        <f t="shared" si="7"/>
        <v>101900</v>
      </c>
      <c r="J37" s="42">
        <f t="shared" si="0"/>
        <v>0.18819835626558315</v>
      </c>
    </row>
    <row r="38" spans="1:10" ht="24.75" hidden="1" customHeight="1" x14ac:dyDescent="0.4">
      <c r="A38" s="56">
        <v>1114119</v>
      </c>
      <c r="B38" s="44" t="s">
        <v>72</v>
      </c>
      <c r="C38" s="40">
        <f>75+1</f>
        <v>76</v>
      </c>
      <c r="D38" s="41">
        <f>73+1</f>
        <v>74</v>
      </c>
      <c r="E38" s="41">
        <f>+D38-C38</f>
        <v>-2</v>
      </c>
      <c r="F38" s="42">
        <f t="shared" si="1"/>
        <v>-2.6315789473684209E-2</v>
      </c>
      <c r="G38" s="117">
        <f>2922800+101900</f>
        <v>3024700</v>
      </c>
      <c r="H38" s="117">
        <f>2832500+101900</f>
        <v>2934400</v>
      </c>
      <c r="I38" s="117">
        <f t="shared" si="7"/>
        <v>-90300</v>
      </c>
      <c r="J38" s="42">
        <f t="shared" si="0"/>
        <v>-2.9854200416570238E-2</v>
      </c>
    </row>
    <row r="39" spans="1:10" ht="16" hidden="1" thickBot="1" x14ac:dyDescent="0.4">
      <c r="A39" s="57">
        <v>1114122</v>
      </c>
      <c r="B39" s="58" t="s">
        <v>73</v>
      </c>
      <c r="C39" s="59">
        <f>9+1</f>
        <v>10</v>
      </c>
      <c r="D39" s="60">
        <f>8+1</f>
        <v>9</v>
      </c>
      <c r="E39" s="60">
        <f t="shared" si="6"/>
        <v>-1</v>
      </c>
      <c r="F39" s="54">
        <f t="shared" si="1"/>
        <v>-0.1</v>
      </c>
      <c r="G39" s="121">
        <f>380450+101900</f>
        <v>482350</v>
      </c>
      <c r="H39" s="121">
        <f>343950+101900</f>
        <v>445850</v>
      </c>
      <c r="I39" s="121">
        <f t="shared" si="7"/>
        <v>-36500</v>
      </c>
      <c r="J39" s="54">
        <f t="shared" si="0"/>
        <v>-7.5671193117031202E-2</v>
      </c>
    </row>
    <row r="40" spans="1:10" ht="30.75" customHeight="1" thickBot="1" x14ac:dyDescent="0.4">
      <c r="A40" s="33">
        <v>1115</v>
      </c>
      <c r="B40" s="61" t="s">
        <v>74</v>
      </c>
      <c r="C40" s="62">
        <f t="shared" ref="C40:H40" si="8">+C41+C42+C43+C44</f>
        <v>653</v>
      </c>
      <c r="D40" s="63">
        <f>+D41+D42+D43+D44</f>
        <v>720</v>
      </c>
      <c r="E40" s="63">
        <f>+E41+E42+E43+E44</f>
        <v>67</v>
      </c>
      <c r="F40" s="37">
        <f t="shared" si="1"/>
        <v>0.10260336906584992</v>
      </c>
      <c r="G40" s="116">
        <f t="shared" si="8"/>
        <v>31281150</v>
      </c>
      <c r="H40" s="116">
        <f t="shared" si="8"/>
        <v>33624550</v>
      </c>
      <c r="I40" s="116">
        <f>+I41+I42+I43+I44</f>
        <v>2343400</v>
      </c>
      <c r="J40" s="37">
        <f t="shared" si="0"/>
        <v>7.491412559960231E-2</v>
      </c>
    </row>
    <row r="41" spans="1:10" ht="16" hidden="1" thickBot="1" x14ac:dyDescent="0.4">
      <c r="A41" s="38">
        <v>1115111</v>
      </c>
      <c r="B41" s="39" t="s">
        <v>51</v>
      </c>
      <c r="C41" s="40">
        <f>57+1</f>
        <v>58</v>
      </c>
      <c r="D41" s="41">
        <f>56+1</f>
        <v>57</v>
      </c>
      <c r="E41" s="41">
        <f>+D41-C41</f>
        <v>-1</v>
      </c>
      <c r="F41" s="42">
        <f t="shared" si="1"/>
        <v>-1.7241379310344827E-2</v>
      </c>
      <c r="G41" s="117">
        <f>2707650+146350</f>
        <v>2854000</v>
      </c>
      <c r="H41" s="117">
        <f>2584850+146350</f>
        <v>2731200</v>
      </c>
      <c r="I41" s="117">
        <f>+H41-G41</f>
        <v>-122800</v>
      </c>
      <c r="J41" s="42">
        <f t="shared" si="0"/>
        <v>-4.3027330063069379E-2</v>
      </c>
    </row>
    <row r="42" spans="1:10" ht="27" hidden="1" customHeight="1" x14ac:dyDescent="0.4">
      <c r="A42" s="43">
        <v>1115112</v>
      </c>
      <c r="B42" s="44" t="s">
        <v>52</v>
      </c>
      <c r="C42" s="40">
        <f>577+1</f>
        <v>578</v>
      </c>
      <c r="D42" s="41">
        <f>646+1</f>
        <v>647</v>
      </c>
      <c r="E42" s="41">
        <f>+D42-C42</f>
        <v>69</v>
      </c>
      <c r="F42" s="42">
        <f t="shared" si="1"/>
        <v>0.11937716262975778</v>
      </c>
      <c r="G42" s="117">
        <f>27317050+101900</f>
        <v>27418950</v>
      </c>
      <c r="H42" s="117">
        <f>29858250+101900</f>
        <v>29960150</v>
      </c>
      <c r="I42" s="117">
        <f>+H42-G42</f>
        <v>2541200</v>
      </c>
      <c r="J42" s="42">
        <f t="shared" si="0"/>
        <v>9.2680427222778403E-2</v>
      </c>
    </row>
    <row r="43" spans="1:10" ht="16" hidden="1" thickBot="1" x14ac:dyDescent="0.4">
      <c r="A43" s="43">
        <v>1115113</v>
      </c>
      <c r="B43" s="44" t="s">
        <v>75</v>
      </c>
      <c r="C43" s="40">
        <f>0+1</f>
        <v>1</v>
      </c>
      <c r="D43" s="41">
        <f>0+1</f>
        <v>1</v>
      </c>
      <c r="E43" s="41">
        <f>+D43-C43</f>
        <v>0</v>
      </c>
      <c r="F43" s="42">
        <f t="shared" si="1"/>
        <v>0</v>
      </c>
      <c r="G43" s="117">
        <f>0+101900</f>
        <v>101900</v>
      </c>
      <c r="H43" s="117">
        <f>0+101900</f>
        <v>101900</v>
      </c>
      <c r="I43" s="117">
        <f>+H43-G43</f>
        <v>0</v>
      </c>
      <c r="J43" s="42">
        <f t="shared" si="0"/>
        <v>0</v>
      </c>
    </row>
    <row r="44" spans="1:10" ht="27.75" hidden="1" customHeight="1" thickBot="1" x14ac:dyDescent="0.4">
      <c r="A44" s="45">
        <v>1115115</v>
      </c>
      <c r="B44" s="46" t="s">
        <v>76</v>
      </c>
      <c r="C44" s="47">
        <f>15+1</f>
        <v>16</v>
      </c>
      <c r="D44" s="48">
        <f>14+1</f>
        <v>15</v>
      </c>
      <c r="E44" s="41">
        <f>+D44-C44</f>
        <v>-1</v>
      </c>
      <c r="F44" s="49">
        <f t="shared" si="1"/>
        <v>-6.25E-2</v>
      </c>
      <c r="G44" s="118">
        <f>804400+101900</f>
        <v>906300</v>
      </c>
      <c r="H44" s="118">
        <f>729400+101900</f>
        <v>831300</v>
      </c>
      <c r="I44" s="118">
        <f>+H44-G44</f>
        <v>-75000</v>
      </c>
      <c r="J44" s="49">
        <f t="shared" si="0"/>
        <v>-8.2754054948692479E-2</v>
      </c>
    </row>
    <row r="45" spans="1:10" ht="24.75" customHeight="1" thickBot="1" x14ac:dyDescent="0.4">
      <c r="A45" s="33">
        <v>1116</v>
      </c>
      <c r="B45" s="34" t="s">
        <v>77</v>
      </c>
      <c r="C45" s="35">
        <f>+C46+C47+C48+C49</f>
        <v>1027</v>
      </c>
      <c r="D45" s="36">
        <f>+D46+D47+D48+D49</f>
        <v>1148</v>
      </c>
      <c r="E45" s="36">
        <f>+E46+E47+E48+E49</f>
        <v>121</v>
      </c>
      <c r="F45" s="37">
        <f t="shared" si="1"/>
        <v>0.11781888997078871</v>
      </c>
      <c r="G45" s="116">
        <f t="shared" ref="G45:H45" si="9">+G46+G47+G48+G49</f>
        <v>42457050</v>
      </c>
      <c r="H45" s="116">
        <f t="shared" si="9"/>
        <v>49744850</v>
      </c>
      <c r="I45" s="116">
        <f>+I46+I47+I48+I49</f>
        <v>7287800</v>
      </c>
      <c r="J45" s="37">
        <f t="shared" si="0"/>
        <v>0.17165111565688149</v>
      </c>
    </row>
    <row r="46" spans="1:10" ht="16" hidden="1" thickBot="1" x14ac:dyDescent="0.4">
      <c r="A46" s="38">
        <v>1116111</v>
      </c>
      <c r="B46" s="39" t="s">
        <v>51</v>
      </c>
      <c r="C46" s="40">
        <f>143+1</f>
        <v>144</v>
      </c>
      <c r="D46" s="41">
        <f>138+1</f>
        <v>139</v>
      </c>
      <c r="E46" s="41">
        <f>+D46-C46</f>
        <v>-5</v>
      </c>
      <c r="F46" s="42">
        <f t="shared" si="1"/>
        <v>-3.4722222222222224E-2</v>
      </c>
      <c r="G46" s="117">
        <f>6591950+146350</f>
        <v>6738300</v>
      </c>
      <c r="H46" s="117">
        <f>6487650+146350</f>
        <v>6634000</v>
      </c>
      <c r="I46" s="117">
        <f>+H46-G46</f>
        <v>-104300</v>
      </c>
      <c r="J46" s="42">
        <f t="shared" si="0"/>
        <v>-1.5478681566567235E-2</v>
      </c>
    </row>
    <row r="47" spans="1:10" ht="33.75" hidden="1" customHeight="1" x14ac:dyDescent="0.4">
      <c r="A47" s="43">
        <v>1116112</v>
      </c>
      <c r="B47" s="44" t="s">
        <v>52</v>
      </c>
      <c r="C47" s="40">
        <f>392+1</f>
        <v>393</v>
      </c>
      <c r="D47" s="41">
        <f>472+1</f>
        <v>473</v>
      </c>
      <c r="E47" s="41">
        <f>+D47-C47</f>
        <v>80</v>
      </c>
      <c r="F47" s="42">
        <f t="shared" si="1"/>
        <v>0.20356234096692111</v>
      </c>
      <c r="G47" s="117">
        <f>19028600+101900</f>
        <v>19130500</v>
      </c>
      <c r="H47" s="117">
        <f>24194400+101900</f>
        <v>24296300</v>
      </c>
      <c r="I47" s="117">
        <f>+H47-G47</f>
        <v>5165800</v>
      </c>
      <c r="J47" s="42">
        <f t="shared" si="0"/>
        <v>0.27002953399022506</v>
      </c>
    </row>
    <row r="48" spans="1:10" ht="25.5" hidden="1" customHeight="1" x14ac:dyDescent="0.4">
      <c r="A48" s="64">
        <v>1116113</v>
      </c>
      <c r="B48" s="65" t="s">
        <v>78</v>
      </c>
      <c r="C48" s="40">
        <f>89+1</f>
        <v>90</v>
      </c>
      <c r="D48" s="41">
        <f>176+1</f>
        <v>177</v>
      </c>
      <c r="E48" s="41">
        <f>+D48-C48</f>
        <v>87</v>
      </c>
      <c r="F48" s="42">
        <f t="shared" si="1"/>
        <v>0.96666666666666667</v>
      </c>
      <c r="G48" s="117">
        <f>3118250+101900</f>
        <v>3220150</v>
      </c>
      <c r="H48" s="117">
        <f>6508050+101900</f>
        <v>6609950</v>
      </c>
      <c r="I48" s="117">
        <f>+H48-G48</f>
        <v>3389800</v>
      </c>
      <c r="J48" s="42">
        <f t="shared" si="0"/>
        <v>1.0526838811856591</v>
      </c>
    </row>
    <row r="49" spans="1:10" ht="31.5" hidden="1" customHeight="1" thickBot="1" x14ac:dyDescent="0.4">
      <c r="A49" s="66">
        <v>1116114</v>
      </c>
      <c r="B49" s="65" t="s">
        <v>79</v>
      </c>
      <c r="C49" s="47">
        <f>398+2</f>
        <v>400</v>
      </c>
      <c r="D49" s="48">
        <f>357+2</f>
        <v>359</v>
      </c>
      <c r="E49" s="41">
        <f>+D49-C49</f>
        <v>-41</v>
      </c>
      <c r="F49" s="49">
        <f t="shared" si="1"/>
        <v>-0.10249999999999999</v>
      </c>
      <c r="G49" s="118">
        <f>13174900+193200</f>
        <v>13368100</v>
      </c>
      <c r="H49" s="118">
        <f>12011400+193200</f>
        <v>12204600</v>
      </c>
      <c r="I49" s="118">
        <f>+H49-G49</f>
        <v>-1163500</v>
      </c>
      <c r="J49" s="49">
        <f t="shared" si="0"/>
        <v>-8.7035554790882777E-2</v>
      </c>
    </row>
    <row r="50" spans="1:10" ht="32.25" customHeight="1" thickBot="1" x14ac:dyDescent="0.4">
      <c r="A50" s="33">
        <v>1117</v>
      </c>
      <c r="B50" s="67" t="s">
        <v>80</v>
      </c>
      <c r="C50" s="35">
        <f>+C51+C52+C53</f>
        <v>145</v>
      </c>
      <c r="D50" s="36">
        <f>+D51+D52+D53</f>
        <v>169</v>
      </c>
      <c r="E50" s="36">
        <f>+E51+E52+E53</f>
        <v>24</v>
      </c>
      <c r="F50" s="37">
        <f t="shared" si="1"/>
        <v>0.16551724137931034</v>
      </c>
      <c r="G50" s="116">
        <f>+G51+G52+G53</f>
        <v>6453975</v>
      </c>
      <c r="H50" s="116">
        <f>+H51+H52+H53</f>
        <v>7802825</v>
      </c>
      <c r="I50" s="116">
        <f>+I51+I52+I53</f>
        <v>1348850</v>
      </c>
      <c r="J50" s="37">
        <f t="shared" si="0"/>
        <v>0.20899523162082281</v>
      </c>
    </row>
    <row r="51" spans="1:10" ht="16" hidden="1" thickBot="1" x14ac:dyDescent="0.4">
      <c r="A51" s="38">
        <v>1117111</v>
      </c>
      <c r="B51" s="39" t="s">
        <v>51</v>
      </c>
      <c r="C51" s="40">
        <f>1+1</f>
        <v>2</v>
      </c>
      <c r="D51" s="41">
        <f>1+1</f>
        <v>2</v>
      </c>
      <c r="E51" s="41">
        <f>+D51-C51</f>
        <v>0</v>
      </c>
      <c r="F51" s="42">
        <f t="shared" si="1"/>
        <v>0</v>
      </c>
      <c r="G51" s="117">
        <f>86400+146350</f>
        <v>232750</v>
      </c>
      <c r="H51" s="117">
        <f>86400+146350</f>
        <v>232750</v>
      </c>
      <c r="I51" s="117">
        <f>+H51-G51</f>
        <v>0</v>
      </c>
      <c r="J51" s="42">
        <f t="shared" si="0"/>
        <v>0</v>
      </c>
    </row>
    <row r="52" spans="1:10" ht="27.75" hidden="1" customHeight="1" x14ac:dyDescent="0.4">
      <c r="A52" s="43">
        <v>1117112</v>
      </c>
      <c r="B52" s="44" t="s">
        <v>52</v>
      </c>
      <c r="C52" s="40">
        <f>108+1</f>
        <v>109</v>
      </c>
      <c r="D52" s="41">
        <f>112+1</f>
        <v>113</v>
      </c>
      <c r="E52" s="41">
        <f>+D52-C52</f>
        <v>4</v>
      </c>
      <c r="F52" s="42">
        <f t="shared" si="1"/>
        <v>3.669724770642202E-2</v>
      </c>
      <c r="G52" s="117">
        <f>4743025+101900</f>
        <v>4844925</v>
      </c>
      <c r="H52" s="117">
        <f>5307125+101900</f>
        <v>5409025</v>
      </c>
      <c r="I52" s="117">
        <f>+H52-G52</f>
        <v>564100</v>
      </c>
      <c r="J52" s="42">
        <f t="shared" si="0"/>
        <v>0.11643111090470956</v>
      </c>
    </row>
    <row r="53" spans="1:10" ht="16" hidden="1" thickBot="1" x14ac:dyDescent="0.4">
      <c r="A53" s="45">
        <v>1117113</v>
      </c>
      <c r="B53" s="46" t="s">
        <v>81</v>
      </c>
      <c r="C53" s="47">
        <f>34</f>
        <v>34</v>
      </c>
      <c r="D53" s="48">
        <f>54</f>
        <v>54</v>
      </c>
      <c r="E53" s="41">
        <f>+D53-C53</f>
        <v>20</v>
      </c>
      <c r="F53" s="49">
        <f t="shared" si="1"/>
        <v>0.58823529411764708</v>
      </c>
      <c r="G53" s="118">
        <f>1376300</f>
        <v>1376300</v>
      </c>
      <c r="H53" s="118">
        <f>2161050</f>
        <v>2161050</v>
      </c>
      <c r="I53" s="118">
        <f>+H53-G53</f>
        <v>784750</v>
      </c>
      <c r="J53" s="49">
        <f t="shared" si="0"/>
        <v>0.5701881857153237</v>
      </c>
    </row>
    <row r="54" spans="1:10" ht="16" hidden="1" thickBot="1" x14ac:dyDescent="0.4">
      <c r="A54" s="28">
        <v>12</v>
      </c>
      <c r="B54" s="29" t="s">
        <v>82</v>
      </c>
      <c r="C54" s="30">
        <f>+C55+C63+C66+C69+C72+C82+C86</f>
        <v>24177</v>
      </c>
      <c r="D54" s="31">
        <f>+D55+D63+D66+D69+D72+D82+D86</f>
        <v>26733</v>
      </c>
      <c r="E54" s="31">
        <f>+E55+E63+E66+E69+E72+E82+E86</f>
        <v>2556</v>
      </c>
      <c r="F54" s="32">
        <f>+E54/C54</f>
        <v>0.10572031269388261</v>
      </c>
      <c r="G54" s="115">
        <f>+G55+G63+G66+G69+G72+G82+G86</f>
        <v>1067407849</v>
      </c>
      <c r="H54" s="115">
        <f>+H55+H63+H66+H69+H72+H82+H86</f>
        <v>1169140549.5</v>
      </c>
      <c r="I54" s="115">
        <f>+I55+I63+I66+I69+I72+I82+I86</f>
        <v>101732700.5</v>
      </c>
      <c r="J54" s="32">
        <f t="shared" si="0"/>
        <v>9.5308181025002006E-2</v>
      </c>
    </row>
    <row r="55" spans="1:10" ht="36" customHeight="1" thickBot="1" x14ac:dyDescent="0.4">
      <c r="A55" s="33">
        <v>1211</v>
      </c>
      <c r="B55" s="34" t="s">
        <v>83</v>
      </c>
      <c r="C55" s="36">
        <f>+C56+C57+C58+C59+C60+C61+C62</f>
        <v>19034</v>
      </c>
      <c r="D55" s="36">
        <f>+D56+D57+D58+D59+D60+D61+D62</f>
        <v>20844</v>
      </c>
      <c r="E55" s="36">
        <f>+E56+E57+E58+E59+E60+E61+E62</f>
        <v>1810</v>
      </c>
      <c r="F55" s="37">
        <f>+E55/C55</f>
        <v>9.5092991488914577E-2</v>
      </c>
      <c r="G55" s="119">
        <f>+G56+G57+G58+G59+G60+G61+G62</f>
        <v>806989000</v>
      </c>
      <c r="H55" s="119">
        <f>+H56+H57+H58+H59+H60+H61+H62</f>
        <v>879118100</v>
      </c>
      <c r="I55" s="119">
        <f>+I56+I57+I58+I59+I60+I61+I62</f>
        <v>72129100</v>
      </c>
      <c r="J55" s="37">
        <f>+I55/G55</f>
        <v>8.9380524393764968E-2</v>
      </c>
    </row>
    <row r="56" spans="1:10" ht="16" hidden="1" thickBot="1" x14ac:dyDescent="0.4">
      <c r="A56" s="38">
        <v>1211111</v>
      </c>
      <c r="B56" s="39" t="s">
        <v>51</v>
      </c>
      <c r="C56" s="47">
        <f>6+1</f>
        <v>7</v>
      </c>
      <c r="D56" s="48">
        <f>6+1</f>
        <v>7</v>
      </c>
      <c r="E56" s="41">
        <f t="shared" ref="E56:E60" si="10">+D56-C56</f>
        <v>0</v>
      </c>
      <c r="F56" s="49">
        <f t="shared" si="1"/>
        <v>0</v>
      </c>
      <c r="G56" s="117">
        <f xml:space="preserve"> 276050+146350</f>
        <v>422400</v>
      </c>
      <c r="H56" s="117">
        <f>276050+146350</f>
        <v>422400</v>
      </c>
      <c r="I56" s="117">
        <f t="shared" ref="I56:I62" si="11">+H56-G56</f>
        <v>0</v>
      </c>
      <c r="J56" s="49">
        <f t="shared" si="0"/>
        <v>0</v>
      </c>
    </row>
    <row r="57" spans="1:10" ht="30" hidden="1" customHeight="1" x14ac:dyDescent="0.4">
      <c r="A57" s="43">
        <v>1211112</v>
      </c>
      <c r="B57" s="44" t="s">
        <v>52</v>
      </c>
      <c r="C57" s="68">
        <f>4036+2</f>
        <v>4038</v>
      </c>
      <c r="D57" s="69">
        <f>3990+2</f>
        <v>3992</v>
      </c>
      <c r="E57" s="69">
        <f t="shared" si="10"/>
        <v>-46</v>
      </c>
      <c r="F57" s="70">
        <f t="shared" si="1"/>
        <v>-1.1391778107974244E-2</v>
      </c>
      <c r="G57" s="122">
        <f>146814850+203800</f>
        <v>147018650</v>
      </c>
      <c r="H57" s="122">
        <f>146818750+203800</f>
        <v>147022550</v>
      </c>
      <c r="I57" s="122">
        <f t="shared" si="11"/>
        <v>3900</v>
      </c>
      <c r="J57" s="70">
        <f t="shared" si="0"/>
        <v>2.6527246713257129E-5</v>
      </c>
    </row>
    <row r="58" spans="1:10" ht="29.25" hidden="1" customHeight="1" x14ac:dyDescent="0.4">
      <c r="A58" s="43">
        <v>1211117</v>
      </c>
      <c r="B58" s="71" t="s">
        <v>84</v>
      </c>
      <c r="C58" s="52">
        <v>33</v>
      </c>
      <c r="D58" s="53">
        <f>31</f>
        <v>31</v>
      </c>
      <c r="E58" s="41">
        <f t="shared" si="10"/>
        <v>-2</v>
      </c>
      <c r="F58" s="54">
        <f t="shared" si="1"/>
        <v>-6.0606060606060608E-2</v>
      </c>
      <c r="G58" s="122">
        <v>1410350</v>
      </c>
      <c r="H58" s="122">
        <f>1426050</f>
        <v>1426050</v>
      </c>
      <c r="I58" s="122">
        <f t="shared" si="11"/>
        <v>15700</v>
      </c>
      <c r="J58" s="54">
        <f>+I58/G58</f>
        <v>1.1131988513489559E-2</v>
      </c>
    </row>
    <row r="59" spans="1:10" ht="29.25" hidden="1" customHeight="1" x14ac:dyDescent="0.4">
      <c r="A59" s="43">
        <v>1211118</v>
      </c>
      <c r="B59" s="72" t="s">
        <v>85</v>
      </c>
      <c r="C59" s="52">
        <f>0+1</f>
        <v>1</v>
      </c>
      <c r="D59" s="53">
        <v>0</v>
      </c>
      <c r="E59" s="41">
        <f t="shared" si="10"/>
        <v>-1</v>
      </c>
      <c r="F59" s="54">
        <f>+E59/C59</f>
        <v>-1</v>
      </c>
      <c r="G59" s="123">
        <f>0+117350</f>
        <v>117350</v>
      </c>
      <c r="H59" s="123">
        <v>0</v>
      </c>
      <c r="I59" s="123">
        <f t="shared" si="11"/>
        <v>-117350</v>
      </c>
      <c r="J59" s="54" t="s">
        <v>86</v>
      </c>
    </row>
    <row r="60" spans="1:10" ht="16" hidden="1" thickBot="1" x14ac:dyDescent="0.4">
      <c r="A60" s="43">
        <v>1211121</v>
      </c>
      <c r="B60" s="44" t="s">
        <v>87</v>
      </c>
      <c r="C60" s="52">
        <v>30</v>
      </c>
      <c r="D60" s="53">
        <f>29</f>
        <v>29</v>
      </c>
      <c r="E60" s="41">
        <f t="shared" si="10"/>
        <v>-1</v>
      </c>
      <c r="F60" s="54">
        <f>+E60/C60</f>
        <v>-3.3333333333333333E-2</v>
      </c>
      <c r="G60" s="123">
        <f>1374950</f>
        <v>1374950</v>
      </c>
      <c r="H60" s="123">
        <f>1334950</f>
        <v>1334950</v>
      </c>
      <c r="I60" s="123">
        <f>+H60-G60</f>
        <v>-40000</v>
      </c>
      <c r="J60" s="54">
        <f t="shared" si="0"/>
        <v>-2.9091966980617476E-2</v>
      </c>
    </row>
    <row r="61" spans="1:10" ht="16" hidden="1" thickBot="1" x14ac:dyDescent="0.4">
      <c r="A61" s="45">
        <v>1211122</v>
      </c>
      <c r="B61" s="46" t="s">
        <v>88</v>
      </c>
      <c r="C61" s="52">
        <v>0</v>
      </c>
      <c r="D61" s="53">
        <f>6</f>
        <v>6</v>
      </c>
      <c r="E61" s="41">
        <f>+D61-C61</f>
        <v>6</v>
      </c>
      <c r="F61" s="54" t="s">
        <v>86</v>
      </c>
      <c r="G61" s="123">
        <f>0</f>
        <v>0</v>
      </c>
      <c r="H61" s="123">
        <f>364400</f>
        <v>364400</v>
      </c>
      <c r="I61" s="123">
        <f>+H61-G61</f>
        <v>364400</v>
      </c>
      <c r="J61" s="54" t="s">
        <v>86</v>
      </c>
    </row>
    <row r="62" spans="1:10" ht="15.75" hidden="1" customHeight="1" thickBot="1" x14ac:dyDescent="0.4">
      <c r="A62" s="45">
        <v>1211216</v>
      </c>
      <c r="B62" s="46" t="s">
        <v>89</v>
      </c>
      <c r="C62" s="52">
        <f>14925</f>
        <v>14925</v>
      </c>
      <c r="D62" s="53">
        <f>16779</f>
        <v>16779</v>
      </c>
      <c r="E62" s="41">
        <f>+D62-C62</f>
        <v>1854</v>
      </c>
      <c r="F62" s="54">
        <f>+E62/C62</f>
        <v>0.1242211055276382</v>
      </c>
      <c r="G62" s="123">
        <f>656645300</f>
        <v>656645300</v>
      </c>
      <c r="H62" s="123">
        <f>728547750</f>
        <v>728547750</v>
      </c>
      <c r="I62" s="123">
        <f t="shared" si="11"/>
        <v>71902450</v>
      </c>
      <c r="J62" s="54">
        <f t="shared" si="0"/>
        <v>0.10949967965962751</v>
      </c>
    </row>
    <row r="63" spans="1:10" ht="30" customHeight="1" thickBot="1" x14ac:dyDescent="0.4">
      <c r="A63" s="33">
        <v>1212</v>
      </c>
      <c r="B63" s="34" t="s">
        <v>90</v>
      </c>
      <c r="C63" s="35">
        <f t="shared" ref="C63:H63" si="12">+C64+C65</f>
        <v>53</v>
      </c>
      <c r="D63" s="36">
        <f t="shared" si="12"/>
        <v>109</v>
      </c>
      <c r="E63" s="36">
        <f>+E64+E65</f>
        <v>56</v>
      </c>
      <c r="F63" s="37">
        <f t="shared" si="1"/>
        <v>1.0566037735849056</v>
      </c>
      <c r="G63" s="116">
        <f t="shared" si="12"/>
        <v>2389400</v>
      </c>
      <c r="H63" s="116">
        <f t="shared" si="12"/>
        <v>5273400</v>
      </c>
      <c r="I63" s="116">
        <f>+I64+I65</f>
        <v>2884000</v>
      </c>
      <c r="J63" s="37">
        <f t="shared" si="0"/>
        <v>1.2069975726123714</v>
      </c>
    </row>
    <row r="64" spans="1:10" ht="16" hidden="1" thickBot="1" x14ac:dyDescent="0.4">
      <c r="A64" s="38">
        <v>1212111</v>
      </c>
      <c r="B64" s="39" t="s">
        <v>51</v>
      </c>
      <c r="C64" s="40">
        <f>9+1</f>
        <v>10</v>
      </c>
      <c r="D64" s="41">
        <f>9+1</f>
        <v>10</v>
      </c>
      <c r="E64" s="41">
        <f>+D64-C64</f>
        <v>0</v>
      </c>
      <c r="F64" s="42">
        <f t="shared" si="1"/>
        <v>0</v>
      </c>
      <c r="G64" s="118">
        <f>389250+146350</f>
        <v>535600</v>
      </c>
      <c r="H64" s="118">
        <f>459000+146350</f>
        <v>605350</v>
      </c>
      <c r="I64" s="118">
        <f>+H64-G64</f>
        <v>69750</v>
      </c>
      <c r="J64" s="42">
        <f t="shared" si="0"/>
        <v>0.13022778192681106</v>
      </c>
    </row>
    <row r="65" spans="1:10" ht="26.25" hidden="1" customHeight="1" thickBot="1" x14ac:dyDescent="0.4">
      <c r="A65" s="73">
        <v>1212112</v>
      </c>
      <c r="B65" s="74" t="s">
        <v>52</v>
      </c>
      <c r="C65" s="59">
        <f>42+1</f>
        <v>43</v>
      </c>
      <c r="D65" s="60">
        <f>98+1</f>
        <v>99</v>
      </c>
      <c r="E65" s="60">
        <f>+D65-C65</f>
        <v>56</v>
      </c>
      <c r="F65" s="75">
        <f t="shared" si="1"/>
        <v>1.3023255813953489</v>
      </c>
      <c r="G65" s="121">
        <f>1751900+101900</f>
        <v>1853800</v>
      </c>
      <c r="H65" s="121">
        <f>4566150+101900</f>
        <v>4668050</v>
      </c>
      <c r="I65" s="121">
        <f>+H65-G65</f>
        <v>2814250</v>
      </c>
      <c r="J65" s="75">
        <f t="shared" si="0"/>
        <v>1.5180979609450858</v>
      </c>
    </row>
    <row r="66" spans="1:10" ht="30" customHeight="1" thickBot="1" x14ac:dyDescent="0.4">
      <c r="A66" s="76">
        <v>1213</v>
      </c>
      <c r="B66" s="61" t="s">
        <v>91</v>
      </c>
      <c r="C66" s="62">
        <f t="shared" ref="C66:H66" si="13">+C67+C68</f>
        <v>711</v>
      </c>
      <c r="D66" s="63">
        <f t="shared" si="13"/>
        <v>695</v>
      </c>
      <c r="E66" s="63">
        <f>+E67+E68</f>
        <v>-16</v>
      </c>
      <c r="F66" s="77">
        <f t="shared" si="1"/>
        <v>-2.2503516174402251E-2</v>
      </c>
      <c r="G66" s="124">
        <f t="shared" si="13"/>
        <v>37390650</v>
      </c>
      <c r="H66" s="124">
        <f t="shared" si="13"/>
        <v>36285550</v>
      </c>
      <c r="I66" s="124">
        <f>+I67+I68</f>
        <v>-1105100</v>
      </c>
      <c r="J66" s="37">
        <f t="shared" si="0"/>
        <v>-2.9555517221551378E-2</v>
      </c>
    </row>
    <row r="67" spans="1:10" ht="16" hidden="1" thickBot="1" x14ac:dyDescent="0.4">
      <c r="A67" s="38">
        <v>1213111</v>
      </c>
      <c r="B67" s="39" t="s">
        <v>51</v>
      </c>
      <c r="C67" s="47">
        <f>214+1</f>
        <v>215</v>
      </c>
      <c r="D67" s="48">
        <f>196+1</f>
        <v>197</v>
      </c>
      <c r="E67" s="41">
        <f>+D67-C67</f>
        <v>-18</v>
      </c>
      <c r="F67" s="49">
        <f t="shared" si="1"/>
        <v>-8.3720930232558138E-2</v>
      </c>
      <c r="G67" s="117">
        <f>12366650+146350</f>
        <v>12513000</v>
      </c>
      <c r="H67" s="117">
        <f>11192550+146350</f>
        <v>11338900</v>
      </c>
      <c r="I67" s="117">
        <f>+H67-G67</f>
        <v>-1174100</v>
      </c>
      <c r="J67" s="49">
        <f t="shared" si="0"/>
        <v>-9.3830416366978336E-2</v>
      </c>
    </row>
    <row r="68" spans="1:10" ht="32.25" hidden="1" customHeight="1" thickBot="1" x14ac:dyDescent="0.4">
      <c r="A68" s="45">
        <v>1213112</v>
      </c>
      <c r="B68" s="46" t="s">
        <v>52</v>
      </c>
      <c r="C68" s="52">
        <f>493+3</f>
        <v>496</v>
      </c>
      <c r="D68" s="53">
        <f>495+3</f>
        <v>498</v>
      </c>
      <c r="E68" s="53">
        <f>+D68-C68</f>
        <v>2</v>
      </c>
      <c r="F68" s="54">
        <f t="shared" si="1"/>
        <v>4.0322580645161289E-3</v>
      </c>
      <c r="G68" s="123">
        <f>24571950+305700</f>
        <v>24877650</v>
      </c>
      <c r="H68" s="123">
        <f>24640950+305700</f>
        <v>24946650</v>
      </c>
      <c r="I68" s="123">
        <f>+H68-G68</f>
        <v>69000</v>
      </c>
      <c r="J68" s="54">
        <f t="shared" si="0"/>
        <v>2.7735738705223362E-3</v>
      </c>
    </row>
    <row r="69" spans="1:10" ht="21" customHeight="1" thickBot="1" x14ac:dyDescent="0.4">
      <c r="A69" s="33">
        <v>1214</v>
      </c>
      <c r="B69" s="34" t="s">
        <v>92</v>
      </c>
      <c r="C69" s="35">
        <f t="shared" ref="C69:H69" si="14">+C70+C71</f>
        <v>104</v>
      </c>
      <c r="D69" s="36">
        <f t="shared" si="14"/>
        <v>75</v>
      </c>
      <c r="E69" s="36">
        <f>+E70+E71</f>
        <v>-29</v>
      </c>
      <c r="F69" s="37">
        <f t="shared" si="1"/>
        <v>-0.27884615384615385</v>
      </c>
      <c r="G69" s="116">
        <f t="shared" si="14"/>
        <v>6086600</v>
      </c>
      <c r="H69" s="116">
        <f t="shared" si="14"/>
        <v>4023200</v>
      </c>
      <c r="I69" s="116">
        <f>+I70+I71</f>
        <v>-2063400</v>
      </c>
      <c r="J69" s="37">
        <f t="shared" si="0"/>
        <v>-0.33900699898136893</v>
      </c>
    </row>
    <row r="70" spans="1:10" ht="16" hidden="1" thickBot="1" x14ac:dyDescent="0.4">
      <c r="A70" s="38">
        <v>1214111</v>
      </c>
      <c r="B70" s="39" t="s">
        <v>93</v>
      </c>
      <c r="C70" s="40">
        <f>10+12</f>
        <v>22</v>
      </c>
      <c r="D70" s="41">
        <f>2+2</f>
        <v>4</v>
      </c>
      <c r="E70" s="41">
        <f>+D70-C70</f>
        <v>-18</v>
      </c>
      <c r="F70" s="49">
        <f t="shared" si="1"/>
        <v>-0.81818181818181823</v>
      </c>
      <c r="G70" s="117">
        <f>367950+2419050</f>
        <v>2787000</v>
      </c>
      <c r="H70" s="117">
        <f>101000+292700</f>
        <v>393700</v>
      </c>
      <c r="I70" s="117">
        <f>+H70-G70</f>
        <v>-2393300</v>
      </c>
      <c r="J70" s="49">
        <f t="shared" si="0"/>
        <v>-0.85873699318263363</v>
      </c>
    </row>
    <row r="71" spans="1:10" ht="16" hidden="1" thickBot="1" x14ac:dyDescent="0.4">
      <c r="A71" s="78">
        <v>1214112</v>
      </c>
      <c r="B71" s="74" t="s">
        <v>94</v>
      </c>
      <c r="C71" s="59">
        <f>82</f>
        <v>82</v>
      </c>
      <c r="D71" s="60">
        <f>71</f>
        <v>71</v>
      </c>
      <c r="E71" s="60">
        <f>+D71-C71</f>
        <v>-11</v>
      </c>
      <c r="F71" s="75">
        <f t="shared" si="1"/>
        <v>-0.13414634146341464</v>
      </c>
      <c r="G71" s="121">
        <f xml:space="preserve"> 3299600</f>
        <v>3299600</v>
      </c>
      <c r="H71" s="121">
        <f>3629500</f>
        <v>3629500</v>
      </c>
      <c r="I71" s="121">
        <f>+H71-G71</f>
        <v>329900</v>
      </c>
      <c r="J71" s="79">
        <f t="shared" si="0"/>
        <v>9.9981815977694261E-2</v>
      </c>
    </row>
    <row r="72" spans="1:10" ht="18.75" customHeight="1" thickBot="1" x14ac:dyDescent="0.4">
      <c r="A72" s="76">
        <v>1215</v>
      </c>
      <c r="B72" s="61" t="s">
        <v>95</v>
      </c>
      <c r="C72" s="62">
        <f t="shared" ref="C72:H72" si="15">+C73+C74+C75+C76+C77+C78+C79+C80+C81</f>
        <v>720</v>
      </c>
      <c r="D72" s="63">
        <f t="shared" si="15"/>
        <v>723</v>
      </c>
      <c r="E72" s="63">
        <f>+E73+E74+E75+E76+E77+E78+E79+E80+E81</f>
        <v>3</v>
      </c>
      <c r="F72" s="77">
        <f t="shared" si="1"/>
        <v>4.1666666666666666E-3</v>
      </c>
      <c r="G72" s="124">
        <f t="shared" si="15"/>
        <v>35530949.5</v>
      </c>
      <c r="H72" s="124">
        <f t="shared" si="15"/>
        <v>36379800</v>
      </c>
      <c r="I72" s="124">
        <f>+I73+I74+I75+I76+I77+I78+I79+I80+I81</f>
        <v>848850.5</v>
      </c>
      <c r="J72" s="37">
        <f t="shared" si="0"/>
        <v>2.3890453588919711E-2</v>
      </c>
    </row>
    <row r="73" spans="1:10" ht="16" hidden="1" thickBot="1" x14ac:dyDescent="0.4">
      <c r="A73" s="38">
        <v>1215111</v>
      </c>
      <c r="B73" s="39" t="s">
        <v>96</v>
      </c>
      <c r="C73" s="40">
        <f>24+6</f>
        <v>30</v>
      </c>
      <c r="D73" s="41">
        <f>22+4</f>
        <v>26</v>
      </c>
      <c r="E73" s="41">
        <f t="shared" ref="E73:E81" si="16">+D73-C73</f>
        <v>-4</v>
      </c>
      <c r="F73" s="42">
        <f t="shared" si="1"/>
        <v>-0.13333333333333333</v>
      </c>
      <c r="G73" s="117">
        <f>1047400+927600</f>
        <v>1975000</v>
      </c>
      <c r="H73" s="117">
        <f>977950+634900</f>
        <v>1612850</v>
      </c>
      <c r="I73" s="117">
        <f t="shared" ref="I73:I81" si="17">+H73-G73</f>
        <v>-362150</v>
      </c>
      <c r="J73" s="42">
        <f t="shared" si="0"/>
        <v>-0.18336708860759493</v>
      </c>
    </row>
    <row r="74" spans="1:10" ht="16" hidden="1" thickBot="1" x14ac:dyDescent="0.4">
      <c r="A74" s="43">
        <v>1215112</v>
      </c>
      <c r="B74" s="44" t="s">
        <v>94</v>
      </c>
      <c r="C74" s="68">
        <f>483</f>
        <v>483</v>
      </c>
      <c r="D74" s="69">
        <v>467</v>
      </c>
      <c r="E74" s="41">
        <f t="shared" si="16"/>
        <v>-16</v>
      </c>
      <c r="F74" s="70">
        <f t="shared" si="1"/>
        <v>-3.3126293995859216E-2</v>
      </c>
      <c r="G74" s="122">
        <f>21651800</f>
        <v>21651800</v>
      </c>
      <c r="H74" s="122">
        <f>21067500</f>
        <v>21067500</v>
      </c>
      <c r="I74" s="122">
        <f t="shared" si="17"/>
        <v>-584300</v>
      </c>
      <c r="J74" s="70">
        <f t="shared" si="0"/>
        <v>-2.6986208998789937E-2</v>
      </c>
    </row>
    <row r="75" spans="1:10" ht="29.25" hidden="1" customHeight="1" x14ac:dyDescent="0.4">
      <c r="A75" s="64">
        <v>1215116</v>
      </c>
      <c r="B75" s="71" t="s">
        <v>97</v>
      </c>
      <c r="C75" s="40">
        <f>16+4</f>
        <v>20</v>
      </c>
      <c r="D75" s="41">
        <f>19+4</f>
        <v>23</v>
      </c>
      <c r="E75" s="41">
        <f t="shared" si="16"/>
        <v>3</v>
      </c>
      <c r="F75" s="42">
        <f>+E75/C75</f>
        <v>0.15</v>
      </c>
      <c r="G75" s="117">
        <f>759750+929100</f>
        <v>1688850</v>
      </c>
      <c r="H75" s="117">
        <f>949250+929100</f>
        <v>1878350</v>
      </c>
      <c r="I75" s="117">
        <f t="shared" si="17"/>
        <v>189500</v>
      </c>
      <c r="J75" s="42">
        <f t="shared" si="0"/>
        <v>0.11220653107143914</v>
      </c>
    </row>
    <row r="76" spans="1:10" ht="33" hidden="1" customHeight="1" x14ac:dyDescent="0.4">
      <c r="A76" s="64">
        <v>1215117</v>
      </c>
      <c r="B76" s="71" t="s">
        <v>98</v>
      </c>
      <c r="C76" s="40">
        <f>44</f>
        <v>44</v>
      </c>
      <c r="D76" s="41">
        <f>43</f>
        <v>43</v>
      </c>
      <c r="E76" s="41">
        <f t="shared" si="16"/>
        <v>-1</v>
      </c>
      <c r="F76" s="42">
        <f t="shared" si="1"/>
        <v>-2.2727272727272728E-2</v>
      </c>
      <c r="G76" s="117">
        <f>2467450</f>
        <v>2467450</v>
      </c>
      <c r="H76" s="117">
        <f>2420950</f>
        <v>2420950</v>
      </c>
      <c r="I76" s="117">
        <f t="shared" si="17"/>
        <v>-46500</v>
      </c>
      <c r="J76" s="42">
        <f t="shared" ref="J76:J139" si="18">+I76/G76</f>
        <v>-1.8845366674096739E-2</v>
      </c>
    </row>
    <row r="77" spans="1:10" ht="27" hidden="1" customHeight="1" x14ac:dyDescent="0.4">
      <c r="A77" s="64">
        <v>1215118</v>
      </c>
      <c r="B77" s="72" t="s">
        <v>99</v>
      </c>
      <c r="C77" s="68">
        <v>12</v>
      </c>
      <c r="D77" s="69">
        <f>10</f>
        <v>10</v>
      </c>
      <c r="E77" s="69">
        <f t="shared" si="16"/>
        <v>-2</v>
      </c>
      <c r="F77" s="70">
        <f t="shared" ref="F77:F140" si="19">+E77/C77</f>
        <v>-0.16666666666666666</v>
      </c>
      <c r="G77" s="122">
        <f>362550</f>
        <v>362550</v>
      </c>
      <c r="H77" s="122">
        <v>308850</v>
      </c>
      <c r="I77" s="122">
        <f t="shared" si="17"/>
        <v>-53700</v>
      </c>
      <c r="J77" s="70">
        <f t="shared" si="18"/>
        <v>-0.1481175010343401</v>
      </c>
    </row>
    <row r="78" spans="1:10" ht="30.75" hidden="1" customHeight="1" x14ac:dyDescent="0.4">
      <c r="A78" s="64">
        <v>1215119</v>
      </c>
      <c r="B78" s="72" t="s">
        <v>100</v>
      </c>
      <c r="C78" s="40">
        <f>81+4</f>
        <v>85</v>
      </c>
      <c r="D78" s="41">
        <f>99+5</f>
        <v>104</v>
      </c>
      <c r="E78" s="41">
        <f t="shared" si="16"/>
        <v>19</v>
      </c>
      <c r="F78" s="42">
        <f t="shared" si="19"/>
        <v>0.22352941176470589</v>
      </c>
      <c r="G78" s="117">
        <f>4269149.5+1366000</f>
        <v>5635149.5</v>
      </c>
      <c r="H78" s="117">
        <f>5348600+1776000</f>
        <v>7124600</v>
      </c>
      <c r="I78" s="117">
        <f t="shared" si="17"/>
        <v>1489450.5</v>
      </c>
      <c r="J78" s="42">
        <f t="shared" si="18"/>
        <v>0.26431428305495708</v>
      </c>
    </row>
    <row r="79" spans="1:10" ht="21" hidden="1" customHeight="1" x14ac:dyDescent="0.4">
      <c r="A79" s="80">
        <v>1215122</v>
      </c>
      <c r="B79" s="71" t="s">
        <v>101</v>
      </c>
      <c r="C79" s="68">
        <v>15</v>
      </c>
      <c r="D79" s="69">
        <f>20</f>
        <v>20</v>
      </c>
      <c r="E79" s="41">
        <f t="shared" si="16"/>
        <v>5</v>
      </c>
      <c r="F79" s="70">
        <f t="shared" si="19"/>
        <v>0.33333333333333331</v>
      </c>
      <c r="G79" s="122">
        <v>613950</v>
      </c>
      <c r="H79" s="122">
        <f>859200</f>
        <v>859200</v>
      </c>
      <c r="I79" s="122">
        <f t="shared" si="17"/>
        <v>245250</v>
      </c>
      <c r="J79" s="70">
        <f t="shared" si="18"/>
        <v>0.39946249694600539</v>
      </c>
    </row>
    <row r="80" spans="1:10" ht="15" hidden="1" customHeight="1" x14ac:dyDescent="0.4">
      <c r="A80" s="43">
        <v>1215214</v>
      </c>
      <c r="B80" s="44" t="s">
        <v>102</v>
      </c>
      <c r="C80" s="40">
        <v>14</v>
      </c>
      <c r="D80" s="41">
        <f>14</f>
        <v>14</v>
      </c>
      <c r="E80" s="41">
        <f t="shared" si="16"/>
        <v>0</v>
      </c>
      <c r="F80" s="42">
        <f t="shared" si="19"/>
        <v>0</v>
      </c>
      <c r="G80" s="117">
        <v>493950</v>
      </c>
      <c r="H80" s="117">
        <v>493950</v>
      </c>
      <c r="I80" s="117">
        <f t="shared" si="17"/>
        <v>0</v>
      </c>
      <c r="J80" s="42">
        <f t="shared" si="18"/>
        <v>0</v>
      </c>
    </row>
    <row r="81" spans="1:10" ht="29.25" hidden="1" customHeight="1" thickBot="1" x14ac:dyDescent="0.4">
      <c r="A81" s="45">
        <v>1215220</v>
      </c>
      <c r="B81" s="46" t="s">
        <v>103</v>
      </c>
      <c r="C81" s="52">
        <v>17</v>
      </c>
      <c r="D81" s="53">
        <f>16</f>
        <v>16</v>
      </c>
      <c r="E81" s="41">
        <f t="shared" si="16"/>
        <v>-1</v>
      </c>
      <c r="F81" s="54">
        <f t="shared" si="19"/>
        <v>-5.8823529411764705E-2</v>
      </c>
      <c r="G81" s="123">
        <f>642250</f>
        <v>642250</v>
      </c>
      <c r="H81" s="123">
        <v>613550</v>
      </c>
      <c r="I81" s="123">
        <f t="shared" si="17"/>
        <v>-28700</v>
      </c>
      <c r="J81" s="54">
        <f t="shared" si="18"/>
        <v>-4.4686648501362398E-2</v>
      </c>
    </row>
    <row r="82" spans="1:10" ht="47.25" customHeight="1" thickBot="1" x14ac:dyDescent="0.4">
      <c r="A82" s="33">
        <v>1216</v>
      </c>
      <c r="B82" s="34" t="s">
        <v>104</v>
      </c>
      <c r="C82" s="35">
        <f t="shared" ref="C82:H82" si="20">+C83+C84+C85</f>
        <v>2495</v>
      </c>
      <c r="D82" s="36">
        <f t="shared" si="20"/>
        <v>2490</v>
      </c>
      <c r="E82" s="36">
        <f>+E83+E84+E85</f>
        <v>-5</v>
      </c>
      <c r="F82" s="37">
        <f t="shared" si="19"/>
        <v>-2.004008016032064E-3</v>
      </c>
      <c r="G82" s="116">
        <f t="shared" si="20"/>
        <v>135188000</v>
      </c>
      <c r="H82" s="116">
        <f t="shared" si="20"/>
        <v>134848600</v>
      </c>
      <c r="I82" s="116">
        <f>+I83+I84+I85</f>
        <v>-339400</v>
      </c>
      <c r="J82" s="37">
        <f t="shared" si="18"/>
        <v>-2.5105778619404088E-3</v>
      </c>
    </row>
    <row r="83" spans="1:10" ht="16" hidden="1" thickBot="1" x14ac:dyDescent="0.4">
      <c r="A83" s="38">
        <v>1216111</v>
      </c>
      <c r="B83" s="81" t="s">
        <v>51</v>
      </c>
      <c r="C83" s="40">
        <f>20+2</f>
        <v>22</v>
      </c>
      <c r="D83" s="41">
        <f>20+2</f>
        <v>22</v>
      </c>
      <c r="E83" s="41">
        <f>+D83-C83</f>
        <v>0</v>
      </c>
      <c r="F83" s="42">
        <f t="shared" si="19"/>
        <v>0</v>
      </c>
      <c r="G83" s="125">
        <f>1028050+263700</f>
        <v>1291750</v>
      </c>
      <c r="H83" s="125">
        <f>1028050+263700</f>
        <v>1291750</v>
      </c>
      <c r="I83" s="125">
        <f>+H83-G83</f>
        <v>0</v>
      </c>
      <c r="J83" s="42">
        <f t="shared" si="18"/>
        <v>0</v>
      </c>
    </row>
    <row r="84" spans="1:10" ht="28.5" hidden="1" customHeight="1" x14ac:dyDescent="0.4">
      <c r="A84" s="43">
        <v>1216112</v>
      </c>
      <c r="B84" s="44" t="s">
        <v>52</v>
      </c>
      <c r="C84" s="68">
        <f>2411+61</f>
        <v>2472</v>
      </c>
      <c r="D84" s="69">
        <f>2414+53</f>
        <v>2467</v>
      </c>
      <c r="E84" s="41">
        <f>+D84-C84</f>
        <v>-5</v>
      </c>
      <c r="F84" s="70">
        <f t="shared" si="19"/>
        <v>-2.0226537216828477E-3</v>
      </c>
      <c r="G84" s="126">
        <f>129029450+4764900</f>
        <v>133794350</v>
      </c>
      <c r="H84" s="126">
        <f>129322650+4132300</f>
        <v>133454950</v>
      </c>
      <c r="I84" s="126">
        <f>+H84-G84</f>
        <v>-339400</v>
      </c>
      <c r="J84" s="70">
        <f t="shared" si="18"/>
        <v>-2.5367289425898775E-3</v>
      </c>
    </row>
    <row r="85" spans="1:10" ht="33" hidden="1" customHeight="1" thickBot="1" x14ac:dyDescent="0.4">
      <c r="A85" s="43">
        <v>1216118</v>
      </c>
      <c r="B85" s="58" t="s">
        <v>105</v>
      </c>
      <c r="C85" s="59">
        <f>0+1</f>
        <v>1</v>
      </c>
      <c r="D85" s="60">
        <f>0+1</f>
        <v>1</v>
      </c>
      <c r="E85" s="60">
        <f>+D85-C85</f>
        <v>0</v>
      </c>
      <c r="F85" s="75">
        <f t="shared" si="19"/>
        <v>0</v>
      </c>
      <c r="G85" s="127">
        <f>0+101900</f>
        <v>101900</v>
      </c>
      <c r="H85" s="127">
        <f>0+101900</f>
        <v>101900</v>
      </c>
      <c r="I85" s="127">
        <f>+H85-G85</f>
        <v>0</v>
      </c>
      <c r="J85" s="75">
        <f t="shared" si="18"/>
        <v>0</v>
      </c>
    </row>
    <row r="86" spans="1:10" ht="26.25" customHeight="1" thickBot="1" x14ac:dyDescent="0.4">
      <c r="A86" s="33">
        <v>1217</v>
      </c>
      <c r="B86" s="61" t="s">
        <v>106</v>
      </c>
      <c r="C86" s="82">
        <f t="shared" ref="C86:H86" si="21">+C87+C88+C89</f>
        <v>1060</v>
      </c>
      <c r="D86" s="63">
        <f t="shared" si="21"/>
        <v>1797</v>
      </c>
      <c r="E86" s="63">
        <f>+E87+E88+E89</f>
        <v>737</v>
      </c>
      <c r="F86" s="77">
        <f t="shared" si="19"/>
        <v>0.69528301886792454</v>
      </c>
      <c r="G86" s="124">
        <f>+G87+G88+G89</f>
        <v>43833249.5</v>
      </c>
      <c r="H86" s="124">
        <f t="shared" si="21"/>
        <v>73211899.5</v>
      </c>
      <c r="I86" s="124">
        <f>+I87+I88+I89</f>
        <v>29378650</v>
      </c>
      <c r="J86" s="77">
        <f t="shared" si="18"/>
        <v>0.67023664307616526</v>
      </c>
    </row>
    <row r="87" spans="1:10" ht="16" hidden="1" thickBot="1" x14ac:dyDescent="0.4">
      <c r="A87" s="38">
        <v>1217111</v>
      </c>
      <c r="B87" s="39" t="s">
        <v>51</v>
      </c>
      <c r="C87" s="83">
        <f>55+1</f>
        <v>56</v>
      </c>
      <c r="D87" s="41">
        <f>52+1</f>
        <v>53</v>
      </c>
      <c r="E87" s="41">
        <f>+D87-C87</f>
        <v>-3</v>
      </c>
      <c r="F87" s="42">
        <f t="shared" si="19"/>
        <v>-5.3571428571428568E-2</v>
      </c>
      <c r="G87" s="117">
        <f>2635550+146350</f>
        <v>2781900</v>
      </c>
      <c r="H87" s="117">
        <f>2591550+146350</f>
        <v>2737900</v>
      </c>
      <c r="I87" s="117">
        <f>+H87-G87</f>
        <v>-44000</v>
      </c>
      <c r="J87" s="42">
        <f t="shared" si="18"/>
        <v>-1.5816528272044286E-2</v>
      </c>
    </row>
    <row r="88" spans="1:10" ht="16" hidden="1" thickBot="1" x14ac:dyDescent="0.4">
      <c r="A88" s="43">
        <v>1217112</v>
      </c>
      <c r="B88" s="44" t="s">
        <v>107</v>
      </c>
      <c r="C88" s="68">
        <f>165+1</f>
        <v>166</v>
      </c>
      <c r="D88" s="69">
        <f>383+1</f>
        <v>384</v>
      </c>
      <c r="E88" s="41">
        <f>+D88-C88</f>
        <v>218</v>
      </c>
      <c r="F88" s="70">
        <f t="shared" si="19"/>
        <v>1.3132530120481927</v>
      </c>
      <c r="G88" s="122">
        <f>7794850+101900</f>
        <v>7896750</v>
      </c>
      <c r="H88" s="122">
        <f>18134550+101900</f>
        <v>18236450</v>
      </c>
      <c r="I88" s="122">
        <f>+H88-G88</f>
        <v>10339700</v>
      </c>
      <c r="J88" s="70">
        <f t="shared" si="18"/>
        <v>1.3093614461645613</v>
      </c>
    </row>
    <row r="89" spans="1:10" ht="18.75" hidden="1" customHeight="1" thickBot="1" x14ac:dyDescent="0.4">
      <c r="A89" s="45">
        <v>1217113</v>
      </c>
      <c r="B89" s="84" t="s">
        <v>108</v>
      </c>
      <c r="C89" s="52">
        <f>829+9</f>
        <v>838</v>
      </c>
      <c r="D89" s="53">
        <f>1351+9</f>
        <v>1360</v>
      </c>
      <c r="E89" s="41">
        <f>+D89-C89</f>
        <v>522</v>
      </c>
      <c r="F89" s="54">
        <f t="shared" si="19"/>
        <v>0.62291169451073991</v>
      </c>
      <c r="G89" s="123">
        <f>32277800+876799.5</f>
        <v>33154599.5</v>
      </c>
      <c r="H89" s="123">
        <f>51360750+876799.5</f>
        <v>52237549.5</v>
      </c>
      <c r="I89" s="123">
        <f>+H89-G89</f>
        <v>19082950</v>
      </c>
      <c r="J89" s="54">
        <f t="shared" si="18"/>
        <v>0.57557474039160084</v>
      </c>
    </row>
    <row r="90" spans="1:10" ht="16" hidden="1" thickBot="1" x14ac:dyDescent="0.4">
      <c r="A90" s="85">
        <v>13</v>
      </c>
      <c r="B90" s="29" t="s">
        <v>109</v>
      </c>
      <c r="C90" s="30">
        <f t="shared" ref="C90:H90" si="22">+C91+C97+C104+C108+C111</f>
        <v>59060</v>
      </c>
      <c r="D90" s="31">
        <f t="shared" si="22"/>
        <v>60071</v>
      </c>
      <c r="E90" s="31">
        <f>+E91+E97+E104+E108+E111</f>
        <v>1011</v>
      </c>
      <c r="F90" s="32">
        <f t="shared" si="19"/>
        <v>1.7118184896715204E-2</v>
      </c>
      <c r="G90" s="115">
        <f t="shared" si="22"/>
        <v>1848490525</v>
      </c>
      <c r="H90" s="115">
        <f t="shared" si="22"/>
        <v>1909905750</v>
      </c>
      <c r="I90" s="115">
        <f>+I91+I97+I104+I108+I111</f>
        <v>61415225</v>
      </c>
      <c r="J90" s="32">
        <f t="shared" si="18"/>
        <v>3.3224527888775626E-2</v>
      </c>
    </row>
    <row r="91" spans="1:10" ht="42.75" customHeight="1" thickBot="1" x14ac:dyDescent="0.4">
      <c r="A91" s="33">
        <v>1311</v>
      </c>
      <c r="B91" s="34" t="s">
        <v>110</v>
      </c>
      <c r="C91" s="35">
        <f>+C92+C93+C94+C95+C96</f>
        <v>45815</v>
      </c>
      <c r="D91" s="36">
        <f>+D92+D93+D94+D95+D96</f>
        <v>44592</v>
      </c>
      <c r="E91" s="36">
        <f>+E92+E93+E94+E95+E96</f>
        <v>-1223</v>
      </c>
      <c r="F91" s="37">
        <f t="shared" si="19"/>
        <v>-2.6694314089272073E-2</v>
      </c>
      <c r="G91" s="116">
        <f>+G92+G93+G94+G95+G96</f>
        <v>1383004850</v>
      </c>
      <c r="H91" s="116">
        <f>+H92+H93+H94+H95+H96</f>
        <v>1352656650</v>
      </c>
      <c r="I91" s="116">
        <f>+I92+I93+I94+I95+I96</f>
        <v>-30348200</v>
      </c>
      <c r="J91" s="37">
        <f t="shared" si="18"/>
        <v>-2.1943668527265106E-2</v>
      </c>
    </row>
    <row r="92" spans="1:10" ht="16" hidden="1" thickBot="1" x14ac:dyDescent="0.4">
      <c r="A92" s="38">
        <v>1311111</v>
      </c>
      <c r="B92" s="39" t="s">
        <v>51</v>
      </c>
      <c r="C92" s="40">
        <f>57+1</f>
        <v>58</v>
      </c>
      <c r="D92" s="41">
        <f>55+1</f>
        <v>56</v>
      </c>
      <c r="E92" s="41">
        <f>+D92-C92</f>
        <v>-2</v>
      </c>
      <c r="F92" s="42">
        <f t="shared" si="19"/>
        <v>-3.4482758620689655E-2</v>
      </c>
      <c r="G92" s="117">
        <f>2209300+146350</f>
        <v>2355650</v>
      </c>
      <c r="H92" s="117">
        <f>2106500+146350</f>
        <v>2252850</v>
      </c>
      <c r="I92" s="117">
        <f>+H92-G92</f>
        <v>-102800</v>
      </c>
      <c r="J92" s="42">
        <f t="shared" si="18"/>
        <v>-4.3639759726614734E-2</v>
      </c>
    </row>
    <row r="93" spans="1:10" ht="16" hidden="1" thickBot="1" x14ac:dyDescent="0.4">
      <c r="A93" s="43">
        <v>1311112</v>
      </c>
      <c r="B93" s="44" t="s">
        <v>52</v>
      </c>
      <c r="C93" s="68">
        <f>44670+1</f>
        <v>44671</v>
      </c>
      <c r="D93" s="69">
        <f>43480+1</f>
        <v>43481</v>
      </c>
      <c r="E93" s="41">
        <f>+D93-C93</f>
        <v>-1190</v>
      </c>
      <c r="F93" s="70">
        <f t="shared" si="19"/>
        <v>-2.6639206644131538E-2</v>
      </c>
      <c r="G93" s="122">
        <f>1339252350+101900</f>
        <v>1339354250</v>
      </c>
      <c r="H93" s="122">
        <f>1310274850+101900</f>
        <v>1310376750</v>
      </c>
      <c r="I93" s="122">
        <f>+H93-G93</f>
        <v>-28977500</v>
      </c>
      <c r="J93" s="70">
        <f t="shared" si="18"/>
        <v>-2.1635426176457796E-2</v>
      </c>
    </row>
    <row r="94" spans="1:10" ht="16" hidden="1" thickBot="1" x14ac:dyDescent="0.4">
      <c r="A94" s="43">
        <v>1311115</v>
      </c>
      <c r="B94" s="44" t="s">
        <v>111</v>
      </c>
      <c r="C94" s="68">
        <f>25+1</f>
        <v>26</v>
      </c>
      <c r="D94" s="69">
        <f>21+1</f>
        <v>22</v>
      </c>
      <c r="E94" s="41">
        <f>+D94-C94</f>
        <v>-4</v>
      </c>
      <c r="F94" s="70">
        <f t="shared" si="19"/>
        <v>-0.15384615384615385</v>
      </c>
      <c r="G94" s="122">
        <f>1194100+101900</f>
        <v>1296000</v>
      </c>
      <c r="H94" s="122">
        <f>989100+101900</f>
        <v>1091000</v>
      </c>
      <c r="I94" s="122">
        <f>+H94-G94</f>
        <v>-205000</v>
      </c>
      <c r="J94" s="70">
        <f t="shared" si="18"/>
        <v>-0.15817901234567902</v>
      </c>
    </row>
    <row r="95" spans="1:10" ht="16" hidden="1" thickBot="1" x14ac:dyDescent="0.4">
      <c r="A95" s="43">
        <v>1311117</v>
      </c>
      <c r="B95" s="44" t="s">
        <v>112</v>
      </c>
      <c r="C95" s="68">
        <f>1046+1</f>
        <v>1047</v>
      </c>
      <c r="D95" s="69">
        <f>1021+1</f>
        <v>1022</v>
      </c>
      <c r="E95" s="41">
        <f>+D95-C95</f>
        <v>-25</v>
      </c>
      <c r="F95" s="70">
        <f t="shared" si="19"/>
        <v>-2.387774594078319E-2</v>
      </c>
      <c r="G95" s="122">
        <f>39087750+101900</f>
        <v>39189650</v>
      </c>
      <c r="H95" s="122">
        <f>38140650+101900</f>
        <v>38242550</v>
      </c>
      <c r="I95" s="122">
        <f>+H95-G95</f>
        <v>-947100</v>
      </c>
      <c r="J95" s="70">
        <f t="shared" si="18"/>
        <v>-2.4167095138639922E-2</v>
      </c>
    </row>
    <row r="96" spans="1:10" ht="27" hidden="1" customHeight="1" thickBot="1" x14ac:dyDescent="0.4">
      <c r="A96" s="45">
        <v>1311118</v>
      </c>
      <c r="B96" s="46" t="s">
        <v>113</v>
      </c>
      <c r="C96" s="52">
        <f>12+1</f>
        <v>13</v>
      </c>
      <c r="D96" s="53">
        <f>10+1</f>
        <v>11</v>
      </c>
      <c r="E96" s="41">
        <f>+D96-C96</f>
        <v>-2</v>
      </c>
      <c r="F96" s="54">
        <f t="shared" si="19"/>
        <v>-0.15384615384615385</v>
      </c>
      <c r="G96" s="123">
        <f>707400+101900</f>
        <v>809300</v>
      </c>
      <c r="H96" s="123">
        <f>591600+101900</f>
        <v>693500</v>
      </c>
      <c r="I96" s="123">
        <f>+H96-G96</f>
        <v>-115800</v>
      </c>
      <c r="J96" s="54">
        <f t="shared" si="18"/>
        <v>-0.14308661806499445</v>
      </c>
    </row>
    <row r="97" spans="1:12" ht="31.5" customHeight="1" thickBot="1" x14ac:dyDescent="0.4">
      <c r="A97" s="33">
        <v>1312</v>
      </c>
      <c r="B97" s="34" t="s">
        <v>114</v>
      </c>
      <c r="C97" s="35">
        <f t="shared" ref="C97:H97" si="23">+C98+C99++C100+C101++++C102+C103</f>
        <v>1739</v>
      </c>
      <c r="D97" s="36">
        <f t="shared" si="23"/>
        <v>1975</v>
      </c>
      <c r="E97" s="36">
        <f>+E98+E99++E100+E101++++E102+E103</f>
        <v>236</v>
      </c>
      <c r="F97" s="37">
        <f t="shared" si="19"/>
        <v>0.13571017826336976</v>
      </c>
      <c r="G97" s="116">
        <f t="shared" si="23"/>
        <v>70176950</v>
      </c>
      <c r="H97" s="116">
        <f t="shared" si="23"/>
        <v>82149500</v>
      </c>
      <c r="I97" s="116">
        <f>+I98+I99++I100+I101++++I102+I103</f>
        <v>11972550</v>
      </c>
      <c r="J97" s="37">
        <f t="shared" si="18"/>
        <v>0.17060516309129992</v>
      </c>
    </row>
    <row r="98" spans="1:12" ht="17.25" hidden="1" customHeight="1" x14ac:dyDescent="0.4">
      <c r="A98" s="38">
        <v>1312111</v>
      </c>
      <c r="B98" s="39" t="s">
        <v>51</v>
      </c>
      <c r="C98" s="40">
        <f>188+2</f>
        <v>190</v>
      </c>
      <c r="D98" s="41">
        <f>181+2</f>
        <v>183</v>
      </c>
      <c r="E98" s="41">
        <f t="shared" ref="E98:E103" si="24">+D98-C98</f>
        <v>-7</v>
      </c>
      <c r="F98" s="42">
        <f t="shared" si="19"/>
        <v>-3.6842105263157891E-2</v>
      </c>
      <c r="G98" s="117">
        <f>7112200+263700</f>
        <v>7375900</v>
      </c>
      <c r="H98" s="117">
        <f>7100250+263700</f>
        <v>7363950</v>
      </c>
      <c r="I98" s="117">
        <f t="shared" ref="I98:I103" si="25">+H98-G98</f>
        <v>-11950</v>
      </c>
      <c r="J98" s="42">
        <f t="shared" si="18"/>
        <v>-1.6201412708957551E-3</v>
      </c>
    </row>
    <row r="99" spans="1:12" ht="29.25" hidden="1" customHeight="1" x14ac:dyDescent="0.4">
      <c r="A99" s="43">
        <v>1312112</v>
      </c>
      <c r="B99" s="44" t="s">
        <v>52</v>
      </c>
      <c r="C99" s="68">
        <f>1041+1</f>
        <v>1042</v>
      </c>
      <c r="D99" s="69">
        <f>1147+1</f>
        <v>1148</v>
      </c>
      <c r="E99" s="41">
        <f t="shared" si="24"/>
        <v>106</v>
      </c>
      <c r="F99" s="70">
        <f t="shared" si="19"/>
        <v>0.1017274472168906</v>
      </c>
      <c r="G99" s="122">
        <f>43065400+101900</f>
        <v>43167300</v>
      </c>
      <c r="H99" s="122">
        <f>49512400+101900</f>
        <v>49614300</v>
      </c>
      <c r="I99" s="122">
        <f t="shared" si="25"/>
        <v>6447000</v>
      </c>
      <c r="J99" s="70">
        <f t="shared" si="18"/>
        <v>0.14934916012815255</v>
      </c>
      <c r="L99" s="15"/>
    </row>
    <row r="100" spans="1:12" ht="30" hidden="1" customHeight="1" x14ac:dyDescent="0.4">
      <c r="A100" s="43">
        <v>1312113</v>
      </c>
      <c r="B100" s="44" t="s">
        <v>115</v>
      </c>
      <c r="C100" s="68">
        <f>134+1</f>
        <v>135</v>
      </c>
      <c r="D100" s="69">
        <f>153+1</f>
        <v>154</v>
      </c>
      <c r="E100" s="41">
        <f t="shared" si="24"/>
        <v>19</v>
      </c>
      <c r="F100" s="70">
        <f t="shared" si="19"/>
        <v>0.14074074074074075</v>
      </c>
      <c r="G100" s="122">
        <f xml:space="preserve"> 5518150+101900</f>
        <v>5620050</v>
      </c>
      <c r="H100" s="122">
        <f>6169000+101900</f>
        <v>6270900</v>
      </c>
      <c r="I100" s="122">
        <f t="shared" si="25"/>
        <v>650850</v>
      </c>
      <c r="J100" s="70">
        <f t="shared" si="18"/>
        <v>0.1158085782154963</v>
      </c>
    </row>
    <row r="101" spans="1:12" ht="16" hidden="1" thickBot="1" x14ac:dyDescent="0.4">
      <c r="A101" s="43">
        <v>1312114</v>
      </c>
      <c r="B101" s="44" t="s">
        <v>116</v>
      </c>
      <c r="C101" s="68">
        <f>95+1</f>
        <v>96</v>
      </c>
      <c r="D101" s="69">
        <f>154+1</f>
        <v>155</v>
      </c>
      <c r="E101" s="41">
        <f t="shared" si="24"/>
        <v>59</v>
      </c>
      <c r="F101" s="70">
        <f t="shared" si="19"/>
        <v>0.61458333333333337</v>
      </c>
      <c r="G101" s="122">
        <f xml:space="preserve"> 3738850+91300</f>
        <v>3830150</v>
      </c>
      <c r="H101" s="122">
        <f>5900050+91300</f>
        <v>5991350</v>
      </c>
      <c r="I101" s="122">
        <f t="shared" si="25"/>
        <v>2161200</v>
      </c>
      <c r="J101" s="70">
        <f t="shared" si="18"/>
        <v>0.56425988538307903</v>
      </c>
    </row>
    <row r="102" spans="1:12" ht="16" hidden="1" thickBot="1" x14ac:dyDescent="0.4">
      <c r="A102" s="43">
        <v>1312115</v>
      </c>
      <c r="B102" s="44" t="s">
        <v>117</v>
      </c>
      <c r="C102" s="68">
        <f>226+1</f>
        <v>227</v>
      </c>
      <c r="D102" s="69">
        <f>227+1</f>
        <v>228</v>
      </c>
      <c r="E102" s="41">
        <f t="shared" si="24"/>
        <v>1</v>
      </c>
      <c r="F102" s="70">
        <f t="shared" si="19"/>
        <v>4.4052863436123352E-3</v>
      </c>
      <c r="G102" s="122">
        <f>8266850+101900</f>
        <v>8368750</v>
      </c>
      <c r="H102" s="122">
        <f>8311350+101900</f>
        <v>8413250</v>
      </c>
      <c r="I102" s="122">
        <f t="shared" si="25"/>
        <v>44500</v>
      </c>
      <c r="J102" s="70">
        <f t="shared" si="18"/>
        <v>5.3174010455563853E-3</v>
      </c>
    </row>
    <row r="103" spans="1:12" ht="30.75" hidden="1" customHeight="1" thickBot="1" x14ac:dyDescent="0.4">
      <c r="A103" s="45">
        <v>1312117</v>
      </c>
      <c r="B103" s="46" t="s">
        <v>118</v>
      </c>
      <c r="C103" s="52">
        <v>49</v>
      </c>
      <c r="D103" s="53">
        <f>107</f>
        <v>107</v>
      </c>
      <c r="E103" s="41">
        <f t="shared" si="24"/>
        <v>58</v>
      </c>
      <c r="F103" s="54">
        <f t="shared" si="19"/>
        <v>1.1836734693877551</v>
      </c>
      <c r="G103" s="123">
        <f>1814800</f>
        <v>1814800</v>
      </c>
      <c r="H103" s="123">
        <f>4495750</f>
        <v>4495750</v>
      </c>
      <c r="I103" s="123">
        <f t="shared" si="25"/>
        <v>2680950</v>
      </c>
      <c r="J103" s="54">
        <f t="shared" si="18"/>
        <v>1.4772702226140622</v>
      </c>
    </row>
    <row r="104" spans="1:12" ht="30" customHeight="1" thickBot="1" x14ac:dyDescent="0.4">
      <c r="A104" s="33">
        <v>1313</v>
      </c>
      <c r="B104" s="34" t="s">
        <v>119</v>
      </c>
      <c r="C104" s="35">
        <f t="shared" ref="C104:H104" si="26">+C105+C106+C107</f>
        <v>10661</v>
      </c>
      <c r="D104" s="36">
        <f>+D105+D106+D107</f>
        <v>12634</v>
      </c>
      <c r="E104" s="36">
        <f>+E105+E106+E107</f>
        <v>1973</v>
      </c>
      <c r="F104" s="37">
        <f t="shared" si="19"/>
        <v>0.18506706687927962</v>
      </c>
      <c r="G104" s="116">
        <f t="shared" si="26"/>
        <v>358491525</v>
      </c>
      <c r="H104" s="116">
        <f t="shared" si="26"/>
        <v>436611700</v>
      </c>
      <c r="I104" s="116">
        <f>+I105+I106+I107</f>
        <v>78120175</v>
      </c>
      <c r="J104" s="37">
        <f t="shared" si="18"/>
        <v>0.21791358944956926</v>
      </c>
    </row>
    <row r="105" spans="1:12" ht="16" hidden="1" thickBot="1" x14ac:dyDescent="0.4">
      <c r="A105" s="38">
        <v>1313111</v>
      </c>
      <c r="B105" s="81" t="s">
        <v>51</v>
      </c>
      <c r="C105" s="40">
        <f>68+1</f>
        <v>69</v>
      </c>
      <c r="D105" s="41">
        <f>68+1</f>
        <v>69</v>
      </c>
      <c r="E105" s="41">
        <f>+D105-C105</f>
        <v>0</v>
      </c>
      <c r="F105" s="42">
        <f t="shared" si="19"/>
        <v>0</v>
      </c>
      <c r="G105" s="122">
        <f xml:space="preserve"> 3017600+146350</f>
        <v>3163950</v>
      </c>
      <c r="H105" s="122">
        <f>3174150+146350</f>
        <v>3320500</v>
      </c>
      <c r="I105" s="122">
        <f>+H105-G105</f>
        <v>156550</v>
      </c>
      <c r="J105" s="42">
        <f t="shared" si="18"/>
        <v>4.947929012784652E-2</v>
      </c>
    </row>
    <row r="106" spans="1:12" ht="27.75" hidden="1" customHeight="1" x14ac:dyDescent="0.4">
      <c r="A106" s="43">
        <v>1313112</v>
      </c>
      <c r="B106" s="44" t="s">
        <v>52</v>
      </c>
      <c r="C106" s="68">
        <f>10241+2</f>
        <v>10243</v>
      </c>
      <c r="D106" s="69">
        <f>12217+2</f>
        <v>12219</v>
      </c>
      <c r="E106" s="41">
        <f>+D106-C106</f>
        <v>1976</v>
      </c>
      <c r="F106" s="70">
        <f>+E106/C106</f>
        <v>0.19291223274431318</v>
      </c>
      <c r="G106" s="122">
        <f xml:space="preserve"> 344347450+219250</f>
        <v>344566700</v>
      </c>
      <c r="H106" s="122">
        <f>420828850+219250</f>
        <v>421048100</v>
      </c>
      <c r="I106" s="122">
        <f>+H106-G106</f>
        <v>76481400</v>
      </c>
      <c r="J106" s="70">
        <f t="shared" si="18"/>
        <v>0.22196399129689548</v>
      </c>
    </row>
    <row r="107" spans="1:12" ht="27.75" hidden="1" customHeight="1" thickBot="1" x14ac:dyDescent="0.4">
      <c r="A107" s="86">
        <v>1313115</v>
      </c>
      <c r="B107" s="87" t="s">
        <v>120</v>
      </c>
      <c r="C107" s="47">
        <f>348+1</f>
        <v>349</v>
      </c>
      <c r="D107" s="48">
        <f>345+1</f>
        <v>346</v>
      </c>
      <c r="E107" s="41">
        <f>+D107-C107</f>
        <v>-3</v>
      </c>
      <c r="F107" s="70" t="s">
        <v>86</v>
      </c>
      <c r="G107" s="118">
        <f>10658975+101900</f>
        <v>10760875</v>
      </c>
      <c r="H107" s="118">
        <f>12141200+101900</f>
        <v>12243100</v>
      </c>
      <c r="I107" s="118">
        <f>+H107-G107</f>
        <v>1482225</v>
      </c>
      <c r="J107" s="49">
        <f t="shared" si="18"/>
        <v>0.13774205164542846</v>
      </c>
    </row>
    <row r="108" spans="1:12" ht="31.5" customHeight="1" thickBot="1" x14ac:dyDescent="0.4">
      <c r="A108" s="33">
        <v>1314</v>
      </c>
      <c r="B108" s="34" t="s">
        <v>121</v>
      </c>
      <c r="C108" s="35">
        <f t="shared" ref="C108:H108" si="27">+C109+C110</f>
        <v>223</v>
      </c>
      <c r="D108" s="36">
        <f t="shared" si="27"/>
        <v>286</v>
      </c>
      <c r="E108" s="36">
        <f>+E109+E110</f>
        <v>63</v>
      </c>
      <c r="F108" s="37">
        <f t="shared" si="19"/>
        <v>0.28251121076233182</v>
      </c>
      <c r="G108" s="116">
        <f t="shared" si="27"/>
        <v>9599650</v>
      </c>
      <c r="H108" s="116">
        <f t="shared" si="27"/>
        <v>13074650</v>
      </c>
      <c r="I108" s="116">
        <f>+I109+I110</f>
        <v>3475000</v>
      </c>
      <c r="J108" s="37">
        <f t="shared" si="18"/>
        <v>0.36199236430494863</v>
      </c>
    </row>
    <row r="109" spans="1:12" ht="16" hidden="1" thickBot="1" x14ac:dyDescent="0.4">
      <c r="A109" s="38">
        <v>1314111</v>
      </c>
      <c r="B109" s="39" t="s">
        <v>51</v>
      </c>
      <c r="C109" s="40">
        <f>57+1</f>
        <v>58</v>
      </c>
      <c r="D109" s="41">
        <f>63+1</f>
        <v>64</v>
      </c>
      <c r="E109" s="41">
        <f>+D109-C109</f>
        <v>6</v>
      </c>
      <c r="F109" s="42">
        <f t="shared" si="19"/>
        <v>0.10344827586206896</v>
      </c>
      <c r="G109" s="117">
        <f>2273300+146350</f>
        <v>2419650</v>
      </c>
      <c r="H109" s="117">
        <f>2701550+146350</f>
        <v>2847900</v>
      </c>
      <c r="I109" s="117">
        <f>+H109-G109</f>
        <v>428250</v>
      </c>
      <c r="J109" s="42">
        <f t="shared" si="18"/>
        <v>0.17698840741429545</v>
      </c>
    </row>
    <row r="110" spans="1:12" ht="31.5" hidden="1" customHeight="1" thickBot="1" x14ac:dyDescent="0.4">
      <c r="A110" s="73">
        <v>1314112</v>
      </c>
      <c r="B110" s="58" t="s">
        <v>52</v>
      </c>
      <c r="C110" s="52">
        <f>164+1</f>
        <v>165</v>
      </c>
      <c r="D110" s="60">
        <f>221+1</f>
        <v>222</v>
      </c>
      <c r="E110" s="60">
        <f>+D110-C110</f>
        <v>57</v>
      </c>
      <c r="F110" s="75">
        <f t="shared" si="19"/>
        <v>0.34545454545454546</v>
      </c>
      <c r="G110" s="121">
        <f>7078100+101900</f>
        <v>7180000</v>
      </c>
      <c r="H110" s="121">
        <f>10124850+101900</f>
        <v>10226750</v>
      </c>
      <c r="I110" s="121">
        <f>+H110-G110</f>
        <v>3046750</v>
      </c>
      <c r="J110" s="75">
        <f t="shared" si="18"/>
        <v>0.42433844011142063</v>
      </c>
    </row>
    <row r="111" spans="1:12" ht="46.5" customHeight="1" thickBot="1" x14ac:dyDescent="0.4">
      <c r="A111" s="76">
        <v>1315</v>
      </c>
      <c r="B111" s="61" t="s">
        <v>122</v>
      </c>
      <c r="C111" s="35">
        <f t="shared" ref="C111:H111" si="28">+C112+C113</f>
        <v>622</v>
      </c>
      <c r="D111" s="63">
        <f t="shared" si="28"/>
        <v>584</v>
      </c>
      <c r="E111" s="63">
        <f>+E112+E113</f>
        <v>-38</v>
      </c>
      <c r="F111" s="77">
        <f t="shared" si="19"/>
        <v>-6.1093247588424437E-2</v>
      </c>
      <c r="G111" s="124">
        <f t="shared" si="28"/>
        <v>27217550</v>
      </c>
      <c r="H111" s="124">
        <f t="shared" si="28"/>
        <v>25413250</v>
      </c>
      <c r="I111" s="124">
        <f>+I112+I113</f>
        <v>-1804300</v>
      </c>
      <c r="J111" s="77">
        <f t="shared" si="18"/>
        <v>-6.6291785998372377E-2</v>
      </c>
    </row>
    <row r="112" spans="1:12" ht="16" hidden="1" thickBot="1" x14ac:dyDescent="0.4">
      <c r="A112" s="38">
        <v>1315111</v>
      </c>
      <c r="B112" s="39" t="s">
        <v>51</v>
      </c>
      <c r="C112" s="40">
        <f>528+1</f>
        <v>529</v>
      </c>
      <c r="D112" s="41">
        <f>497+1</f>
        <v>498</v>
      </c>
      <c r="E112" s="41">
        <f>+D112-C112</f>
        <v>-31</v>
      </c>
      <c r="F112" s="42">
        <f t="shared" si="19"/>
        <v>-5.8601134215500943E-2</v>
      </c>
      <c r="G112" s="117">
        <f xml:space="preserve"> 22082650+146350</f>
        <v>22229000</v>
      </c>
      <c r="H112" s="117">
        <f>20517900+146350</f>
        <v>20664250</v>
      </c>
      <c r="I112" s="117">
        <f>+H112-G112</f>
        <v>-1564750</v>
      </c>
      <c r="J112" s="42">
        <f t="shared" si="18"/>
        <v>-7.0392280354491882E-2</v>
      </c>
    </row>
    <row r="113" spans="1:10" ht="27" hidden="1" customHeight="1" thickBot="1" x14ac:dyDescent="0.4">
      <c r="A113" s="45">
        <v>1315112</v>
      </c>
      <c r="B113" s="46" t="s">
        <v>52</v>
      </c>
      <c r="C113" s="52">
        <f>92+1</f>
        <v>93</v>
      </c>
      <c r="D113" s="53">
        <f>85+1</f>
        <v>86</v>
      </c>
      <c r="E113" s="41">
        <f>+D113-C113</f>
        <v>-7</v>
      </c>
      <c r="F113" s="54">
        <f t="shared" si="19"/>
        <v>-7.5268817204301078E-2</v>
      </c>
      <c r="G113" s="123">
        <f>4886650+101900</f>
        <v>4988550</v>
      </c>
      <c r="H113" s="123">
        <f>4647100+101900</f>
        <v>4749000</v>
      </c>
      <c r="I113" s="123">
        <f>+H113-G113</f>
        <v>-239550</v>
      </c>
      <c r="J113" s="54">
        <f t="shared" si="18"/>
        <v>-4.8019965721502238E-2</v>
      </c>
    </row>
    <row r="114" spans="1:10" ht="16" hidden="1" thickBot="1" x14ac:dyDescent="0.4">
      <c r="A114" s="28">
        <v>14</v>
      </c>
      <c r="B114" s="29" t="s">
        <v>123</v>
      </c>
      <c r="C114" s="30">
        <f t="shared" ref="C114:H114" si="29">+C115+C118+C130</f>
        <v>1431</v>
      </c>
      <c r="D114" s="31">
        <f>+D115+D118+D130</f>
        <v>1458</v>
      </c>
      <c r="E114" s="31">
        <f>+E115+E118+E130</f>
        <v>27</v>
      </c>
      <c r="F114" s="32">
        <f t="shared" si="19"/>
        <v>1.8867924528301886E-2</v>
      </c>
      <c r="G114" s="115">
        <f t="shared" si="29"/>
        <v>59673100</v>
      </c>
      <c r="H114" s="115">
        <f t="shared" si="29"/>
        <v>62373250</v>
      </c>
      <c r="I114" s="115">
        <f>+I115+I118+I130</f>
        <v>2700150</v>
      </c>
      <c r="J114" s="32">
        <f t="shared" si="18"/>
        <v>4.5249031808302233E-2</v>
      </c>
    </row>
    <row r="115" spans="1:10" ht="16" thickBot="1" x14ac:dyDescent="0.4">
      <c r="A115" s="33">
        <v>1411</v>
      </c>
      <c r="B115" s="34" t="s">
        <v>124</v>
      </c>
      <c r="C115" s="35">
        <f>+C116+C117</f>
        <v>129</v>
      </c>
      <c r="D115" s="36">
        <f>D116+D117</f>
        <v>116</v>
      </c>
      <c r="E115" s="36">
        <f>+E116+E117</f>
        <v>-13</v>
      </c>
      <c r="F115" s="37">
        <f t="shared" si="19"/>
        <v>-0.10077519379844961</v>
      </c>
      <c r="G115" s="116">
        <f>+G116+G117</f>
        <v>5785500</v>
      </c>
      <c r="H115" s="116">
        <f>+H116+H117</f>
        <v>5301550</v>
      </c>
      <c r="I115" s="116">
        <f>+I116+I117</f>
        <v>-483950</v>
      </c>
      <c r="J115" s="37">
        <f t="shared" si="18"/>
        <v>-8.36487771152018E-2</v>
      </c>
    </row>
    <row r="116" spans="1:10" ht="16" hidden="1" thickBot="1" x14ac:dyDescent="0.4">
      <c r="A116" s="38">
        <v>1411111</v>
      </c>
      <c r="B116" s="39" t="s">
        <v>51</v>
      </c>
      <c r="C116" s="40">
        <v>0</v>
      </c>
      <c r="D116" s="41">
        <v>0</v>
      </c>
      <c r="E116" s="41">
        <f>+D116-C116</f>
        <v>0</v>
      </c>
      <c r="F116" s="42" t="s">
        <v>86</v>
      </c>
      <c r="G116" s="117">
        <v>0</v>
      </c>
      <c r="H116" s="117">
        <v>0</v>
      </c>
      <c r="I116" s="117">
        <f>+H116-G116</f>
        <v>0</v>
      </c>
      <c r="J116" s="42"/>
    </row>
    <row r="117" spans="1:10" ht="30" hidden="1" customHeight="1" thickBot="1" x14ac:dyDescent="0.4">
      <c r="A117" s="45">
        <v>1411112</v>
      </c>
      <c r="B117" s="46" t="s">
        <v>52</v>
      </c>
      <c r="C117" s="52">
        <f>128+1</f>
        <v>129</v>
      </c>
      <c r="D117" s="53">
        <f>115+1</f>
        <v>116</v>
      </c>
      <c r="E117" s="41">
        <f>+D117-C117</f>
        <v>-13</v>
      </c>
      <c r="F117" s="54">
        <f t="shared" si="19"/>
        <v>-0.10077519379844961</v>
      </c>
      <c r="G117" s="123">
        <f>5683600+101900</f>
        <v>5785500</v>
      </c>
      <c r="H117" s="123">
        <f>5199650+101900</f>
        <v>5301550</v>
      </c>
      <c r="I117" s="123">
        <f>+H117-G117</f>
        <v>-483950</v>
      </c>
      <c r="J117" s="54">
        <f t="shared" si="18"/>
        <v>-8.36487771152018E-2</v>
      </c>
    </row>
    <row r="118" spans="1:10" ht="16" thickBot="1" x14ac:dyDescent="0.4">
      <c r="A118" s="33">
        <v>1412</v>
      </c>
      <c r="B118" s="34" t="s">
        <v>125</v>
      </c>
      <c r="C118" s="35">
        <f>+C119+C120+C121+C122+C123+C124+C125+C126+C127+C128+C129</f>
        <v>925</v>
      </c>
      <c r="D118" s="36">
        <f>+D119+D120+D121+D122+D123+D124+D125+D126+D127+D128+D129</f>
        <v>961</v>
      </c>
      <c r="E118" s="36">
        <f>+E119+E120+E121+E122+E123+E124+E125+E126+E127+E128+E129</f>
        <v>36</v>
      </c>
      <c r="F118" s="37">
        <f t="shared" si="19"/>
        <v>3.8918918918918917E-2</v>
      </c>
      <c r="G118" s="116">
        <f>+G119+G120+G121+G122+G123+G124+G125+G126+G127+G128+G129</f>
        <v>38646600</v>
      </c>
      <c r="H118" s="116">
        <f>+H119+H120+H121+H122+H123+H124+H125+H126+H127+H128+H129</f>
        <v>40931300</v>
      </c>
      <c r="I118" s="116">
        <f>+I119+I120+I121+I122+I123+I124+I125+I126+I127+I128+I129</f>
        <v>2284700</v>
      </c>
      <c r="J118" s="37">
        <f t="shared" si="18"/>
        <v>5.911774903872527E-2</v>
      </c>
    </row>
    <row r="119" spans="1:10" ht="16" hidden="1" thickBot="1" x14ac:dyDescent="0.4">
      <c r="A119" s="38">
        <v>1412111</v>
      </c>
      <c r="B119" s="39" t="s">
        <v>51</v>
      </c>
      <c r="C119" s="40">
        <f>32+1</f>
        <v>33</v>
      </c>
      <c r="D119" s="41">
        <f>36+1</f>
        <v>37</v>
      </c>
      <c r="E119" s="41">
        <f t="shared" ref="E119:E129" si="30">+D119-C119</f>
        <v>4</v>
      </c>
      <c r="F119" s="42">
        <f t="shared" si="19"/>
        <v>0.12121212121212122</v>
      </c>
      <c r="G119" s="117">
        <f>1459050+146350</f>
        <v>1605400</v>
      </c>
      <c r="H119" s="117">
        <f>1663400+146350</f>
        <v>1809750</v>
      </c>
      <c r="I119" s="117">
        <f t="shared" ref="I119:I129" si="31">+H119-G119</f>
        <v>204350</v>
      </c>
      <c r="J119" s="42">
        <f t="shared" si="18"/>
        <v>0.12728914912171421</v>
      </c>
    </row>
    <row r="120" spans="1:10" ht="30" hidden="1" customHeight="1" x14ac:dyDescent="0.4">
      <c r="A120" s="43">
        <v>1412112</v>
      </c>
      <c r="B120" s="44" t="s">
        <v>52</v>
      </c>
      <c r="C120" s="47">
        <f>158+1</f>
        <v>159</v>
      </c>
      <c r="D120" s="48">
        <f>197+1</f>
        <v>198</v>
      </c>
      <c r="E120" s="41">
        <f t="shared" si="30"/>
        <v>39</v>
      </c>
      <c r="F120" s="49">
        <f t="shared" si="19"/>
        <v>0.24528301886792453</v>
      </c>
      <c r="G120" s="118">
        <f>6998300+101900</f>
        <v>7100200</v>
      </c>
      <c r="H120" s="118">
        <f>8636250+101900</f>
        <v>8738150</v>
      </c>
      <c r="I120" s="118">
        <f t="shared" si="31"/>
        <v>1637950</v>
      </c>
      <c r="J120" s="49">
        <f t="shared" si="18"/>
        <v>0.23069068476944313</v>
      </c>
    </row>
    <row r="121" spans="1:10" ht="16" hidden="1" thickBot="1" x14ac:dyDescent="0.4">
      <c r="A121" s="43">
        <v>1412113</v>
      </c>
      <c r="B121" s="44" t="s">
        <v>126</v>
      </c>
      <c r="C121" s="68">
        <f>76</f>
        <v>76</v>
      </c>
      <c r="D121" s="69">
        <f>64</f>
        <v>64</v>
      </c>
      <c r="E121" s="41">
        <f t="shared" si="30"/>
        <v>-12</v>
      </c>
      <c r="F121" s="70">
        <f t="shared" si="19"/>
        <v>-0.15789473684210525</v>
      </c>
      <c r="G121" s="122">
        <f>2858900</f>
        <v>2858900</v>
      </c>
      <c r="H121" s="122">
        <f>2630350</f>
        <v>2630350</v>
      </c>
      <c r="I121" s="122">
        <f t="shared" si="31"/>
        <v>-228550</v>
      </c>
      <c r="J121" s="70">
        <f t="shared" si="18"/>
        <v>-7.9943334849067821E-2</v>
      </c>
    </row>
    <row r="122" spans="1:10" ht="31.5" hidden="1" customHeight="1" x14ac:dyDescent="0.4">
      <c r="A122" s="43">
        <v>1412114</v>
      </c>
      <c r="B122" s="44" t="s">
        <v>127</v>
      </c>
      <c r="C122" s="68">
        <f>69+1</f>
        <v>70</v>
      </c>
      <c r="D122" s="69">
        <f>66+1</f>
        <v>67</v>
      </c>
      <c r="E122" s="41">
        <f t="shared" si="30"/>
        <v>-3</v>
      </c>
      <c r="F122" s="70">
        <f t="shared" si="19"/>
        <v>-4.2857142857142858E-2</v>
      </c>
      <c r="G122" s="122">
        <f>2682700+101900</f>
        <v>2784600</v>
      </c>
      <c r="H122" s="122">
        <f>2495300+101900</f>
        <v>2597200</v>
      </c>
      <c r="I122" s="122">
        <f t="shared" si="31"/>
        <v>-187400</v>
      </c>
      <c r="J122" s="70">
        <f t="shared" si="18"/>
        <v>-6.7298714357537884E-2</v>
      </c>
    </row>
    <row r="123" spans="1:10" ht="16" hidden="1" thickBot="1" x14ac:dyDescent="0.4">
      <c r="A123" s="43">
        <v>1412115</v>
      </c>
      <c r="B123" s="44" t="s">
        <v>128</v>
      </c>
      <c r="C123" s="68">
        <f>92+1</f>
        <v>93</v>
      </c>
      <c r="D123" s="69">
        <f>88+1</f>
        <v>89</v>
      </c>
      <c r="E123" s="41">
        <f t="shared" si="30"/>
        <v>-4</v>
      </c>
      <c r="F123" s="70">
        <f t="shared" si="19"/>
        <v>-4.3010752688172046E-2</v>
      </c>
      <c r="G123" s="122">
        <f>3571550+101900</f>
        <v>3673450</v>
      </c>
      <c r="H123" s="122">
        <f>3716550+101900</f>
        <v>3818450</v>
      </c>
      <c r="I123" s="122">
        <f t="shared" si="31"/>
        <v>145000</v>
      </c>
      <c r="J123" s="70">
        <f t="shared" si="18"/>
        <v>3.9472430548939008E-2</v>
      </c>
    </row>
    <row r="124" spans="1:10" ht="16" hidden="1" thickBot="1" x14ac:dyDescent="0.4">
      <c r="A124" s="43">
        <v>1412116</v>
      </c>
      <c r="B124" s="44" t="s">
        <v>129</v>
      </c>
      <c r="C124" s="68">
        <f>32+1</f>
        <v>33</v>
      </c>
      <c r="D124" s="69">
        <f>31+1</f>
        <v>32</v>
      </c>
      <c r="E124" s="41">
        <f t="shared" si="30"/>
        <v>-1</v>
      </c>
      <c r="F124" s="70">
        <f t="shared" si="19"/>
        <v>-3.0303030303030304E-2</v>
      </c>
      <c r="G124" s="122">
        <f>1261350+101900</f>
        <v>1363250</v>
      </c>
      <c r="H124" s="122">
        <f>1336050+101900</f>
        <v>1437950</v>
      </c>
      <c r="I124" s="122">
        <f t="shared" si="31"/>
        <v>74700</v>
      </c>
      <c r="J124" s="70">
        <f t="shared" si="18"/>
        <v>5.479552539886301E-2</v>
      </c>
    </row>
    <row r="125" spans="1:10" ht="16" hidden="1" thickBot="1" x14ac:dyDescent="0.4">
      <c r="A125" s="43">
        <v>1412117</v>
      </c>
      <c r="B125" s="44" t="s">
        <v>130</v>
      </c>
      <c r="C125" s="68">
        <f>27+1</f>
        <v>28</v>
      </c>
      <c r="D125" s="69">
        <f>24+1</f>
        <v>25</v>
      </c>
      <c r="E125" s="41">
        <f t="shared" si="30"/>
        <v>-3</v>
      </c>
      <c r="F125" s="70">
        <f t="shared" si="19"/>
        <v>-0.10714285714285714</v>
      </c>
      <c r="G125" s="122">
        <f>1126200+101900</f>
        <v>1228100</v>
      </c>
      <c r="H125" s="122">
        <f>1030050+101900</f>
        <v>1131950</v>
      </c>
      <c r="I125" s="122">
        <f t="shared" si="31"/>
        <v>-96150</v>
      </c>
      <c r="J125" s="70">
        <f t="shared" si="18"/>
        <v>-7.8291670059441418E-2</v>
      </c>
    </row>
    <row r="126" spans="1:10" ht="16" hidden="1" thickBot="1" x14ac:dyDescent="0.4">
      <c r="A126" s="43">
        <v>1412118</v>
      </c>
      <c r="B126" s="44" t="s">
        <v>131</v>
      </c>
      <c r="C126" s="68">
        <f>83+1</f>
        <v>84</v>
      </c>
      <c r="D126" s="69">
        <f>84+1</f>
        <v>85</v>
      </c>
      <c r="E126" s="41">
        <f t="shared" si="30"/>
        <v>1</v>
      </c>
      <c r="F126" s="70">
        <f t="shared" si="19"/>
        <v>1.1904761904761904E-2</v>
      </c>
      <c r="G126" s="122">
        <f>3314300+101900</f>
        <v>3416200</v>
      </c>
      <c r="H126" s="122">
        <f>3378800+101900</f>
        <v>3480700</v>
      </c>
      <c r="I126" s="122">
        <f t="shared" si="31"/>
        <v>64500</v>
      </c>
      <c r="J126" s="70">
        <f t="shared" si="18"/>
        <v>1.8880627597915815E-2</v>
      </c>
    </row>
    <row r="127" spans="1:10" ht="16" hidden="1" thickBot="1" x14ac:dyDescent="0.4">
      <c r="A127" s="43">
        <v>1412119</v>
      </c>
      <c r="B127" s="44" t="s">
        <v>132</v>
      </c>
      <c r="C127" s="68">
        <f>288+1</f>
        <v>289</v>
      </c>
      <c r="D127" s="69">
        <f>275+1</f>
        <v>276</v>
      </c>
      <c r="E127" s="41">
        <f t="shared" si="30"/>
        <v>-13</v>
      </c>
      <c r="F127" s="70">
        <f t="shared" si="19"/>
        <v>-4.4982698961937718E-2</v>
      </c>
      <c r="G127" s="122">
        <f>11979900+101900</f>
        <v>12081800</v>
      </c>
      <c r="H127" s="122">
        <f>11479050+101900</f>
        <v>11580950</v>
      </c>
      <c r="I127" s="122">
        <f t="shared" si="31"/>
        <v>-500850</v>
      </c>
      <c r="J127" s="70">
        <f t="shared" si="18"/>
        <v>-4.1454915658262842E-2</v>
      </c>
    </row>
    <row r="128" spans="1:10" ht="16" hidden="1" thickBot="1" x14ac:dyDescent="0.4">
      <c r="A128" s="43">
        <v>1412124</v>
      </c>
      <c r="B128" s="44" t="s">
        <v>133</v>
      </c>
      <c r="C128" s="68">
        <f>39+1</f>
        <v>40</v>
      </c>
      <c r="D128" s="69">
        <f>63+1</f>
        <v>64</v>
      </c>
      <c r="E128" s="41">
        <f t="shared" si="30"/>
        <v>24</v>
      </c>
      <c r="F128" s="70">
        <f t="shared" si="19"/>
        <v>0.6</v>
      </c>
      <c r="G128" s="122">
        <f>1401950+101900</f>
        <v>1503850</v>
      </c>
      <c r="H128" s="122">
        <f>2352900+101900</f>
        <v>2454800</v>
      </c>
      <c r="I128" s="122">
        <f t="shared" si="31"/>
        <v>950950</v>
      </c>
      <c r="J128" s="70">
        <f t="shared" si="18"/>
        <v>0.63234365129500947</v>
      </c>
    </row>
    <row r="129" spans="1:10" ht="27.75" hidden="1" customHeight="1" thickBot="1" x14ac:dyDescent="0.4">
      <c r="A129" s="45">
        <v>1412125</v>
      </c>
      <c r="B129" s="46" t="s">
        <v>134</v>
      </c>
      <c r="C129" s="52">
        <f>20</f>
        <v>20</v>
      </c>
      <c r="D129" s="53">
        <f>24</f>
        <v>24</v>
      </c>
      <c r="E129" s="41">
        <f t="shared" si="30"/>
        <v>4</v>
      </c>
      <c r="F129" s="54">
        <f t="shared" si="19"/>
        <v>0.2</v>
      </c>
      <c r="G129" s="123">
        <f>1030850</f>
        <v>1030850</v>
      </c>
      <c r="H129" s="123">
        <f>1251050</f>
        <v>1251050</v>
      </c>
      <c r="I129" s="123">
        <f t="shared" si="31"/>
        <v>220200</v>
      </c>
      <c r="J129" s="54">
        <f t="shared" si="18"/>
        <v>0.21361012756463113</v>
      </c>
    </row>
    <row r="130" spans="1:10" ht="31.5" customHeight="1" thickBot="1" x14ac:dyDescent="0.4">
      <c r="A130" s="33">
        <v>1413</v>
      </c>
      <c r="B130" s="34" t="s">
        <v>135</v>
      </c>
      <c r="C130" s="35">
        <f t="shared" ref="C130:H130" si="32">C131+C132+C133+C134</f>
        <v>377</v>
      </c>
      <c r="D130" s="36">
        <f t="shared" si="32"/>
        <v>381</v>
      </c>
      <c r="E130" s="36">
        <f>E131+E132+E133+E134</f>
        <v>4</v>
      </c>
      <c r="F130" s="37">
        <f>+E130/C130</f>
        <v>1.0610079575596816E-2</v>
      </c>
      <c r="G130" s="116">
        <f>G131+G132+G133+G134</f>
        <v>15241000</v>
      </c>
      <c r="H130" s="116">
        <f t="shared" si="32"/>
        <v>16140400</v>
      </c>
      <c r="I130" s="116">
        <f>I131+I132+I133+I134</f>
        <v>899400</v>
      </c>
      <c r="J130" s="37">
        <f t="shared" si="18"/>
        <v>5.9011875861163965E-2</v>
      </c>
    </row>
    <row r="131" spans="1:10" ht="12.75" hidden="1" customHeight="1" x14ac:dyDescent="0.4">
      <c r="A131" s="38">
        <v>1413111</v>
      </c>
      <c r="B131" s="39" t="s">
        <v>51</v>
      </c>
      <c r="C131" s="40">
        <v>0</v>
      </c>
      <c r="D131" s="41">
        <v>0</v>
      </c>
      <c r="E131" s="41">
        <f>+D131-C131</f>
        <v>0</v>
      </c>
      <c r="F131" s="42">
        <v>0</v>
      </c>
      <c r="G131" s="117">
        <f>0</f>
        <v>0</v>
      </c>
      <c r="H131" s="117">
        <v>0</v>
      </c>
      <c r="I131" s="117">
        <f>+H131-G131</f>
        <v>0</v>
      </c>
      <c r="J131" s="88">
        <v>0</v>
      </c>
    </row>
    <row r="132" spans="1:10" ht="16" hidden="1" thickBot="1" x14ac:dyDescent="0.4">
      <c r="A132" s="43">
        <v>1413112</v>
      </c>
      <c r="B132" s="44" t="s">
        <v>136</v>
      </c>
      <c r="C132" s="68">
        <f>74+1</f>
        <v>75</v>
      </c>
      <c r="D132" s="69">
        <f>69+1</f>
        <v>70</v>
      </c>
      <c r="E132" s="41">
        <f>+D132-C132</f>
        <v>-5</v>
      </c>
      <c r="F132" s="70">
        <f t="shared" si="19"/>
        <v>-6.6666666666666666E-2</v>
      </c>
      <c r="G132" s="122">
        <f>3332950+117350</f>
        <v>3450300</v>
      </c>
      <c r="H132" s="122">
        <f>3184500+117350</f>
        <v>3301850</v>
      </c>
      <c r="I132" s="122">
        <f>+H132-G132</f>
        <v>-148450</v>
      </c>
      <c r="J132" s="70">
        <f t="shared" si="18"/>
        <v>-4.3025244181665361E-2</v>
      </c>
    </row>
    <row r="133" spans="1:10" ht="16" hidden="1" thickBot="1" x14ac:dyDescent="0.4">
      <c r="A133" s="43">
        <v>1413113</v>
      </c>
      <c r="B133" s="44" t="s">
        <v>137</v>
      </c>
      <c r="C133" s="68">
        <v>210</v>
      </c>
      <c r="D133" s="69">
        <f>195</f>
        <v>195</v>
      </c>
      <c r="E133" s="41">
        <f>+D133-C133</f>
        <v>-15</v>
      </c>
      <c r="F133" s="70">
        <f t="shared" si="19"/>
        <v>-7.1428571428571425E-2</v>
      </c>
      <c r="G133" s="122">
        <f>8052650</f>
        <v>8052650</v>
      </c>
      <c r="H133" s="122">
        <f>7958350</f>
        <v>7958350</v>
      </c>
      <c r="I133" s="122">
        <f>+H133-G133</f>
        <v>-94300</v>
      </c>
      <c r="J133" s="70">
        <f t="shared" si="18"/>
        <v>-1.1710430727772845E-2</v>
      </c>
    </row>
    <row r="134" spans="1:10" ht="16" hidden="1" thickBot="1" x14ac:dyDescent="0.4">
      <c r="A134" s="43">
        <v>1413114</v>
      </c>
      <c r="B134" s="44" t="s">
        <v>138</v>
      </c>
      <c r="C134" s="68">
        <v>92</v>
      </c>
      <c r="D134" s="69">
        <f>116</f>
        <v>116</v>
      </c>
      <c r="E134" s="41">
        <f>+D134-C134</f>
        <v>24</v>
      </c>
      <c r="F134" s="70">
        <f t="shared" si="19"/>
        <v>0.2608695652173913</v>
      </c>
      <c r="G134" s="122">
        <f>3738050</f>
        <v>3738050</v>
      </c>
      <c r="H134" s="122">
        <f>4880200</f>
        <v>4880200</v>
      </c>
      <c r="I134" s="122">
        <f>+H134-G134</f>
        <v>1142150</v>
      </c>
      <c r="J134" s="70">
        <f t="shared" si="18"/>
        <v>0.30554700980457727</v>
      </c>
    </row>
    <row r="135" spans="1:10" ht="16" hidden="1" thickBot="1" x14ac:dyDescent="0.4">
      <c r="A135" s="89">
        <v>2</v>
      </c>
      <c r="B135" s="90" t="s">
        <v>139</v>
      </c>
      <c r="C135" s="91">
        <f t="shared" ref="C135:H135" si="33">+C136</f>
        <v>3768</v>
      </c>
      <c r="D135" s="26">
        <f t="shared" si="33"/>
        <v>3710</v>
      </c>
      <c r="E135" s="26">
        <f>+E136</f>
        <v>-58</v>
      </c>
      <c r="F135" s="27">
        <f t="shared" si="19"/>
        <v>-1.5392781316348195E-2</v>
      </c>
      <c r="G135" s="114">
        <f t="shared" si="33"/>
        <v>170089600</v>
      </c>
      <c r="H135" s="114">
        <f t="shared" si="33"/>
        <v>167415800</v>
      </c>
      <c r="I135" s="114">
        <f>+I136</f>
        <v>-2673800</v>
      </c>
      <c r="J135" s="27">
        <f t="shared" si="18"/>
        <v>-1.5719949955788008E-2</v>
      </c>
    </row>
    <row r="136" spans="1:10" ht="16" hidden="1" thickBot="1" x14ac:dyDescent="0.4">
      <c r="A136" s="28">
        <v>22</v>
      </c>
      <c r="B136" s="29" t="s">
        <v>82</v>
      </c>
      <c r="C136" s="30">
        <f t="shared" ref="C136:H136" si="34">+C137+C139</f>
        <v>3768</v>
      </c>
      <c r="D136" s="31">
        <f t="shared" si="34"/>
        <v>3710</v>
      </c>
      <c r="E136" s="31">
        <f>+E137+E139</f>
        <v>-58</v>
      </c>
      <c r="F136" s="32">
        <f t="shared" si="19"/>
        <v>-1.5392781316348195E-2</v>
      </c>
      <c r="G136" s="115">
        <f t="shared" si="34"/>
        <v>170089600</v>
      </c>
      <c r="H136" s="115">
        <f t="shared" si="34"/>
        <v>167415800</v>
      </c>
      <c r="I136" s="115">
        <f>+I137+I139</f>
        <v>-2673800</v>
      </c>
      <c r="J136" s="32">
        <f t="shared" si="18"/>
        <v>-1.5719949955788008E-2</v>
      </c>
    </row>
    <row r="137" spans="1:10" ht="16" thickBot="1" x14ac:dyDescent="0.4">
      <c r="A137" s="33">
        <v>2211</v>
      </c>
      <c r="B137" s="34" t="s">
        <v>140</v>
      </c>
      <c r="C137" s="35">
        <f t="shared" ref="C137:H137" si="35">+C138</f>
        <v>1414</v>
      </c>
      <c r="D137" s="36">
        <f t="shared" si="35"/>
        <v>1388</v>
      </c>
      <c r="E137" s="36">
        <f>+E138</f>
        <v>-26</v>
      </c>
      <c r="F137" s="37">
        <f t="shared" si="19"/>
        <v>-1.8387553041018388E-2</v>
      </c>
      <c r="G137" s="116">
        <f t="shared" si="35"/>
        <v>71105700</v>
      </c>
      <c r="H137" s="116">
        <f t="shared" si="35"/>
        <v>69812750</v>
      </c>
      <c r="I137" s="116">
        <f>+I138</f>
        <v>-1292950</v>
      </c>
      <c r="J137" s="37">
        <f t="shared" si="18"/>
        <v>-1.8183493025172384E-2</v>
      </c>
    </row>
    <row r="138" spans="1:10" ht="16" hidden="1" thickBot="1" x14ac:dyDescent="0.4">
      <c r="A138" s="86">
        <v>2211111</v>
      </c>
      <c r="B138" s="87" t="s">
        <v>141</v>
      </c>
      <c r="C138" s="47">
        <f>1414</f>
        <v>1414</v>
      </c>
      <c r="D138" s="48">
        <f>1388</f>
        <v>1388</v>
      </c>
      <c r="E138" s="41">
        <f>+D138-C138</f>
        <v>-26</v>
      </c>
      <c r="F138" s="49">
        <f t="shared" si="19"/>
        <v>-1.8387553041018388E-2</v>
      </c>
      <c r="G138" s="118">
        <f xml:space="preserve"> 71105700</f>
        <v>71105700</v>
      </c>
      <c r="H138" s="118">
        <f>69812750</f>
        <v>69812750</v>
      </c>
      <c r="I138" s="118">
        <f>+H138-G138</f>
        <v>-1292950</v>
      </c>
      <c r="J138" s="49">
        <f t="shared" si="18"/>
        <v>-1.8183493025172384E-2</v>
      </c>
    </row>
    <row r="139" spans="1:10" ht="16" thickBot="1" x14ac:dyDescent="0.4">
      <c r="A139" s="33">
        <v>2212</v>
      </c>
      <c r="B139" s="34" t="s">
        <v>142</v>
      </c>
      <c r="C139" s="35">
        <f t="shared" ref="C139:H139" si="36">+C140+C141</f>
        <v>2354</v>
      </c>
      <c r="D139" s="36">
        <f t="shared" si="36"/>
        <v>2322</v>
      </c>
      <c r="E139" s="36">
        <f>+E140+E141</f>
        <v>-32</v>
      </c>
      <c r="F139" s="37">
        <f t="shared" si="19"/>
        <v>-1.3593882752761258E-2</v>
      </c>
      <c r="G139" s="116">
        <f t="shared" si="36"/>
        <v>98983900</v>
      </c>
      <c r="H139" s="116">
        <f t="shared" si="36"/>
        <v>97603050</v>
      </c>
      <c r="I139" s="116">
        <f>+I140+I141</f>
        <v>-1380850</v>
      </c>
      <c r="J139" s="37">
        <f t="shared" si="18"/>
        <v>-1.3950248474751955E-2</v>
      </c>
    </row>
    <row r="140" spans="1:10" ht="16" hidden="1" thickBot="1" x14ac:dyDescent="0.4">
      <c r="A140" s="38">
        <v>2212111</v>
      </c>
      <c r="B140" s="39" t="s">
        <v>142</v>
      </c>
      <c r="C140" s="40">
        <v>232</v>
      </c>
      <c r="D140" s="41">
        <f>228</f>
        <v>228</v>
      </c>
      <c r="E140" s="41">
        <f>+D140-C140</f>
        <v>-4</v>
      </c>
      <c r="F140" s="42">
        <f t="shared" si="19"/>
        <v>-1.7241379310344827E-2</v>
      </c>
      <c r="G140" s="117">
        <f>11608850</f>
        <v>11608850</v>
      </c>
      <c r="H140" s="117">
        <f>11415900</f>
        <v>11415900</v>
      </c>
      <c r="I140" s="117">
        <f>+H140-G140</f>
        <v>-192950</v>
      </c>
      <c r="J140" s="42">
        <f t="shared" ref="J140:J163" si="37">+I140/G140</f>
        <v>-1.6620940058662142E-2</v>
      </c>
    </row>
    <row r="141" spans="1:10" ht="16" hidden="1" thickBot="1" x14ac:dyDescent="0.4">
      <c r="A141" s="43">
        <v>2212211</v>
      </c>
      <c r="B141" s="44" t="s">
        <v>143</v>
      </c>
      <c r="C141" s="68">
        <v>2122</v>
      </c>
      <c r="D141" s="69">
        <f>2094</f>
        <v>2094</v>
      </c>
      <c r="E141" s="41">
        <f>+D141-C141</f>
        <v>-28</v>
      </c>
      <c r="F141" s="70">
        <f t="shared" ref="F141:F163" si="38">+E141/C141</f>
        <v>-1.3195098963242224E-2</v>
      </c>
      <c r="G141" s="122">
        <f>87375050</f>
        <v>87375050</v>
      </c>
      <c r="H141" s="122">
        <f>86187150</f>
        <v>86187150</v>
      </c>
      <c r="I141" s="122">
        <f>+H141-G141</f>
        <v>-1187900</v>
      </c>
      <c r="J141" s="70">
        <f t="shared" si="37"/>
        <v>-1.3595414251551216E-2</v>
      </c>
    </row>
    <row r="142" spans="1:10" ht="16" hidden="1" thickBot="1" x14ac:dyDescent="0.4">
      <c r="A142" s="89">
        <v>3</v>
      </c>
      <c r="B142" s="90" t="s">
        <v>144</v>
      </c>
      <c r="C142" s="91">
        <f t="shared" ref="C142:H143" si="39">+C143</f>
        <v>1032</v>
      </c>
      <c r="D142" s="26">
        <f t="shared" si="39"/>
        <v>1064</v>
      </c>
      <c r="E142" s="26">
        <f>+E143</f>
        <v>32</v>
      </c>
      <c r="F142" s="27">
        <f t="shared" si="38"/>
        <v>3.1007751937984496E-2</v>
      </c>
      <c r="G142" s="114">
        <f t="shared" si="39"/>
        <v>70101650</v>
      </c>
      <c r="H142" s="114">
        <f t="shared" si="39"/>
        <v>72873450</v>
      </c>
      <c r="I142" s="114">
        <f>+I143</f>
        <v>2771800</v>
      </c>
      <c r="J142" s="27">
        <f t="shared" si="37"/>
        <v>3.9539725527145221E-2</v>
      </c>
    </row>
    <row r="143" spans="1:10" ht="16" hidden="1" thickBot="1" x14ac:dyDescent="0.4">
      <c r="A143" s="28">
        <v>32</v>
      </c>
      <c r="B143" s="29" t="s">
        <v>82</v>
      </c>
      <c r="C143" s="30">
        <f t="shared" si="39"/>
        <v>1032</v>
      </c>
      <c r="D143" s="31">
        <f t="shared" si="39"/>
        <v>1064</v>
      </c>
      <c r="E143" s="31">
        <f>+E144</f>
        <v>32</v>
      </c>
      <c r="F143" s="32">
        <f t="shared" si="38"/>
        <v>3.1007751937984496E-2</v>
      </c>
      <c r="G143" s="115">
        <f t="shared" si="39"/>
        <v>70101650</v>
      </c>
      <c r="H143" s="115">
        <f t="shared" si="39"/>
        <v>72873450</v>
      </c>
      <c r="I143" s="115">
        <f>+I144</f>
        <v>2771800</v>
      </c>
      <c r="J143" s="32">
        <f t="shared" si="37"/>
        <v>3.9539725527145221E-2</v>
      </c>
    </row>
    <row r="144" spans="1:10" ht="33.75" customHeight="1" thickBot="1" x14ac:dyDescent="0.4">
      <c r="A144" s="33">
        <v>3211</v>
      </c>
      <c r="B144" s="34" t="s">
        <v>145</v>
      </c>
      <c r="C144" s="35">
        <f t="shared" ref="C144:H144" si="40">+C145+C146+C147++++C148</f>
        <v>1032</v>
      </c>
      <c r="D144" s="36">
        <f t="shared" si="40"/>
        <v>1064</v>
      </c>
      <c r="E144" s="36">
        <f>+E145+E146+E147++++E148</f>
        <v>32</v>
      </c>
      <c r="F144" s="37">
        <f t="shared" si="38"/>
        <v>3.1007751937984496E-2</v>
      </c>
      <c r="G144" s="116">
        <f t="shared" si="40"/>
        <v>70101650</v>
      </c>
      <c r="H144" s="116">
        <f t="shared" si="40"/>
        <v>72873450</v>
      </c>
      <c r="I144" s="116">
        <f>+I145+I146+I147++++I148</f>
        <v>2771800</v>
      </c>
      <c r="J144" s="37">
        <f t="shared" si="37"/>
        <v>3.9539725527145221E-2</v>
      </c>
    </row>
    <row r="145" spans="1:10" ht="16" hidden="1" thickBot="1" x14ac:dyDescent="0.4">
      <c r="A145" s="38">
        <v>3211111</v>
      </c>
      <c r="B145" s="39" t="s">
        <v>94</v>
      </c>
      <c r="C145" s="40">
        <f>137</f>
        <v>137</v>
      </c>
      <c r="D145" s="41">
        <f>130</f>
        <v>130</v>
      </c>
      <c r="E145" s="41">
        <f>+D145-C145</f>
        <v>-7</v>
      </c>
      <c r="F145" s="42">
        <f t="shared" si="38"/>
        <v>-5.1094890510948905E-2</v>
      </c>
      <c r="G145" s="117">
        <f>7587950</f>
        <v>7587950</v>
      </c>
      <c r="H145" s="117">
        <f>7352800</f>
        <v>7352800</v>
      </c>
      <c r="I145" s="117">
        <f>+H145-G145</f>
        <v>-235150</v>
      </c>
      <c r="J145" s="42">
        <f t="shared" si="37"/>
        <v>-3.0989924815002734E-2</v>
      </c>
    </row>
    <row r="146" spans="1:10" ht="16" hidden="1" thickBot="1" x14ac:dyDescent="0.4">
      <c r="A146" s="43">
        <v>3211212</v>
      </c>
      <c r="B146" s="44" t="s">
        <v>146</v>
      </c>
      <c r="C146" s="68">
        <f>159+12</f>
        <v>171</v>
      </c>
      <c r="D146" s="69">
        <f>171+12</f>
        <v>183</v>
      </c>
      <c r="E146" s="41">
        <f>+D146-C146</f>
        <v>12</v>
      </c>
      <c r="F146" s="70">
        <f t="shared" si="38"/>
        <v>7.0175438596491224E-2</v>
      </c>
      <c r="G146" s="122">
        <f>7785600+1522050</f>
        <v>9307650</v>
      </c>
      <c r="H146" s="122">
        <f>8539100+1522050</f>
        <v>10061150</v>
      </c>
      <c r="I146" s="122">
        <f>+H146-G146</f>
        <v>753500</v>
      </c>
      <c r="J146" s="70">
        <f t="shared" si="37"/>
        <v>8.0954913431424691E-2</v>
      </c>
    </row>
    <row r="147" spans="1:10" ht="16" hidden="1" thickBot="1" x14ac:dyDescent="0.4">
      <c r="A147" s="43">
        <v>3211213</v>
      </c>
      <c r="B147" s="44" t="s">
        <v>147</v>
      </c>
      <c r="C147" s="68">
        <f>66+4</f>
        <v>70</v>
      </c>
      <c r="D147" s="69">
        <f>69+4</f>
        <v>73</v>
      </c>
      <c r="E147" s="41">
        <f>+D147-C147</f>
        <v>3</v>
      </c>
      <c r="F147" s="70">
        <f t="shared" si="38"/>
        <v>4.2857142857142858E-2</v>
      </c>
      <c r="G147" s="122">
        <f>6264300+ 424500</f>
        <v>6688800</v>
      </c>
      <c r="H147" s="122">
        <f>6615650+424500</f>
        <v>7040150</v>
      </c>
      <c r="I147" s="122">
        <f>+H147-G147</f>
        <v>351350</v>
      </c>
      <c r="J147" s="70">
        <f t="shared" si="37"/>
        <v>5.2528106685803135E-2</v>
      </c>
    </row>
    <row r="148" spans="1:10" ht="16" hidden="1" thickBot="1" x14ac:dyDescent="0.4">
      <c r="A148" s="43">
        <v>3211214</v>
      </c>
      <c r="B148" s="44" t="s">
        <v>148</v>
      </c>
      <c r="C148" s="68">
        <f>654</f>
        <v>654</v>
      </c>
      <c r="D148" s="69">
        <f>678</f>
        <v>678</v>
      </c>
      <c r="E148" s="41">
        <f>+D148-C148</f>
        <v>24</v>
      </c>
      <c r="F148" s="70">
        <f t="shared" si="38"/>
        <v>3.669724770642202E-2</v>
      </c>
      <c r="G148" s="122">
        <f>46517250</f>
        <v>46517250</v>
      </c>
      <c r="H148" s="122">
        <v>48419350</v>
      </c>
      <c r="I148" s="122">
        <f>+H148-G148</f>
        <v>1902100</v>
      </c>
      <c r="J148" s="70">
        <f t="shared" si="37"/>
        <v>4.0890207396180989E-2</v>
      </c>
    </row>
    <row r="149" spans="1:10" ht="24.75" hidden="1" customHeight="1" thickBot="1" x14ac:dyDescent="0.4">
      <c r="A149" s="89">
        <v>4</v>
      </c>
      <c r="B149" s="90" t="s">
        <v>149</v>
      </c>
      <c r="C149" s="91">
        <f t="shared" ref="C149:H149" si="41">+C150+C153+C158+C161</f>
        <v>2932</v>
      </c>
      <c r="D149" s="26">
        <f t="shared" si="41"/>
        <v>2984</v>
      </c>
      <c r="E149" s="26">
        <f>+E150+E153+E158+E161</f>
        <v>52</v>
      </c>
      <c r="F149" s="27">
        <f t="shared" si="38"/>
        <v>1.7735334242837655E-2</v>
      </c>
      <c r="G149" s="114">
        <f t="shared" si="41"/>
        <v>135044428.75</v>
      </c>
      <c r="H149" s="114">
        <f t="shared" si="41"/>
        <v>138219675.67000002</v>
      </c>
      <c r="I149" s="114">
        <f>+I150+I153+I158+I161</f>
        <v>3175246.9200000018</v>
      </c>
      <c r="J149" s="27">
        <f t="shared" si="37"/>
        <v>2.3512609512223226E-2</v>
      </c>
    </row>
    <row r="150" spans="1:10" ht="16" hidden="1" thickBot="1" x14ac:dyDescent="0.4">
      <c r="A150" s="28">
        <v>41</v>
      </c>
      <c r="B150" s="29" t="s">
        <v>49</v>
      </c>
      <c r="C150" s="30">
        <f t="shared" ref="C150:H151" si="42">+C151</f>
        <v>643</v>
      </c>
      <c r="D150" s="31">
        <f t="shared" si="42"/>
        <v>612</v>
      </c>
      <c r="E150" s="31">
        <f>+E151</f>
        <v>-31</v>
      </c>
      <c r="F150" s="32">
        <f t="shared" si="38"/>
        <v>-4.821150855365474E-2</v>
      </c>
      <c r="G150" s="115">
        <f>+G151</f>
        <v>34856600</v>
      </c>
      <c r="H150" s="115">
        <f t="shared" si="42"/>
        <v>33523866.670000002</v>
      </c>
      <c r="I150" s="115">
        <f>+I151</f>
        <v>-1332733.3299999982</v>
      </c>
      <c r="J150" s="32">
        <f t="shared" si="37"/>
        <v>-3.8234748369031922E-2</v>
      </c>
    </row>
    <row r="151" spans="1:10" ht="36.75" customHeight="1" thickBot="1" x14ac:dyDescent="0.4">
      <c r="A151" s="33">
        <v>4111</v>
      </c>
      <c r="B151" s="34" t="s">
        <v>150</v>
      </c>
      <c r="C151" s="35">
        <f t="shared" si="42"/>
        <v>643</v>
      </c>
      <c r="D151" s="36">
        <f t="shared" si="42"/>
        <v>612</v>
      </c>
      <c r="E151" s="36">
        <f>+E152</f>
        <v>-31</v>
      </c>
      <c r="F151" s="37">
        <f t="shared" si="38"/>
        <v>-4.821150855365474E-2</v>
      </c>
      <c r="G151" s="116">
        <f t="shared" si="42"/>
        <v>34856600</v>
      </c>
      <c r="H151" s="116">
        <f>+H152</f>
        <v>33523866.670000002</v>
      </c>
      <c r="I151" s="116">
        <f>+I152</f>
        <v>-1332733.3299999982</v>
      </c>
      <c r="J151" s="37">
        <f t="shared" si="37"/>
        <v>-3.8234748369031922E-2</v>
      </c>
    </row>
    <row r="152" spans="1:10" ht="16" hidden="1" thickBot="1" x14ac:dyDescent="0.4">
      <c r="A152" s="86">
        <v>4111111</v>
      </c>
      <c r="B152" s="87" t="s">
        <v>151</v>
      </c>
      <c r="C152" s="47">
        <f>634+9</f>
        <v>643</v>
      </c>
      <c r="D152" s="48">
        <f>603+9</f>
        <v>612</v>
      </c>
      <c r="E152" s="41">
        <f>+D152-C152</f>
        <v>-31</v>
      </c>
      <c r="F152" s="49">
        <f t="shared" si="38"/>
        <v>-4.821150855365474E-2</v>
      </c>
      <c r="G152" s="118">
        <f>33539450+1317150</f>
        <v>34856600</v>
      </c>
      <c r="H152" s="118">
        <f>32206716.67+1317150</f>
        <v>33523866.670000002</v>
      </c>
      <c r="I152" s="118">
        <f>+H152-G152</f>
        <v>-1332733.3299999982</v>
      </c>
      <c r="J152" s="49">
        <f t="shared" si="37"/>
        <v>-3.8234748369031922E-2</v>
      </c>
    </row>
    <row r="153" spans="1:10" ht="16" hidden="1" thickBot="1" x14ac:dyDescent="0.4">
      <c r="A153" s="28">
        <v>42</v>
      </c>
      <c r="B153" s="29" t="s">
        <v>82</v>
      </c>
      <c r="C153" s="30">
        <f>+C154+C156</f>
        <v>162</v>
      </c>
      <c r="D153" s="31">
        <f>+D154+D156</f>
        <v>173</v>
      </c>
      <c r="E153" s="31">
        <f>+E154+E156</f>
        <v>11</v>
      </c>
      <c r="F153" s="32">
        <f t="shared" si="38"/>
        <v>6.7901234567901231E-2</v>
      </c>
      <c r="G153" s="115">
        <f>+G154+G156</f>
        <v>10044650</v>
      </c>
      <c r="H153" s="115">
        <f>+H154+H156</f>
        <v>10748800</v>
      </c>
      <c r="I153" s="115">
        <f>+I154+I156</f>
        <v>704150</v>
      </c>
      <c r="J153" s="32">
        <f t="shared" si="37"/>
        <v>7.0101994594137171E-2</v>
      </c>
    </row>
    <row r="154" spans="1:10" ht="26.25" customHeight="1" thickBot="1" x14ac:dyDescent="0.4">
      <c r="A154" s="33">
        <v>4211</v>
      </c>
      <c r="B154" s="34" t="s">
        <v>152</v>
      </c>
      <c r="C154" s="35">
        <f>+C155</f>
        <v>14</v>
      </c>
      <c r="D154" s="36">
        <f>+D155</f>
        <v>14</v>
      </c>
      <c r="E154" s="36">
        <f>+E155</f>
        <v>0</v>
      </c>
      <c r="F154" s="37">
        <f>+E154/C154</f>
        <v>0</v>
      </c>
      <c r="G154" s="116">
        <f>+G155</f>
        <v>2751800</v>
      </c>
      <c r="H154" s="116">
        <f>+H155</f>
        <v>2751800</v>
      </c>
      <c r="I154" s="116">
        <f>+I155</f>
        <v>0</v>
      </c>
      <c r="J154" s="37">
        <f t="shared" si="37"/>
        <v>0</v>
      </c>
    </row>
    <row r="155" spans="1:10" ht="16" hidden="1" thickBot="1" x14ac:dyDescent="0.4">
      <c r="A155" s="86">
        <v>4211111</v>
      </c>
      <c r="B155" s="87" t="s">
        <v>152</v>
      </c>
      <c r="C155" s="47">
        <f>5+9</f>
        <v>14</v>
      </c>
      <c r="D155" s="48">
        <f>5+9</f>
        <v>14</v>
      </c>
      <c r="E155" s="41">
        <f>+D155-C155</f>
        <v>0</v>
      </c>
      <c r="F155" s="49">
        <f t="shared" si="38"/>
        <v>0</v>
      </c>
      <c r="G155" s="118">
        <f>189500+2562300</f>
        <v>2751800</v>
      </c>
      <c r="H155" s="118">
        <f>189500+2562300</f>
        <v>2751800</v>
      </c>
      <c r="I155" s="118">
        <f>+H155-G155</f>
        <v>0</v>
      </c>
      <c r="J155" s="49">
        <f t="shared" si="37"/>
        <v>0</v>
      </c>
    </row>
    <row r="156" spans="1:10" ht="27" customHeight="1" thickBot="1" x14ac:dyDescent="0.4">
      <c r="A156" s="33">
        <v>4212</v>
      </c>
      <c r="B156" s="34" t="s">
        <v>153</v>
      </c>
      <c r="C156" s="35">
        <f>+C157</f>
        <v>148</v>
      </c>
      <c r="D156" s="36">
        <f>+D157</f>
        <v>159</v>
      </c>
      <c r="E156" s="36">
        <f>+E157</f>
        <v>11</v>
      </c>
      <c r="F156" s="37">
        <f t="shared" si="38"/>
        <v>7.4324324324324328E-2</v>
      </c>
      <c r="G156" s="116">
        <f>+G157</f>
        <v>7292850</v>
      </c>
      <c r="H156" s="116">
        <f>+H157</f>
        <v>7997000</v>
      </c>
      <c r="I156" s="116">
        <f>+I157</f>
        <v>704150</v>
      </c>
      <c r="J156" s="37">
        <f t="shared" si="37"/>
        <v>9.655347360771166E-2</v>
      </c>
    </row>
    <row r="157" spans="1:10" ht="31.5" hidden="1" customHeight="1" thickBot="1" x14ac:dyDescent="0.4">
      <c r="A157" s="92">
        <v>4212112</v>
      </c>
      <c r="B157" s="93" t="s">
        <v>153</v>
      </c>
      <c r="C157" s="94">
        <f>145+3</f>
        <v>148</v>
      </c>
      <c r="D157" s="95">
        <f>156+3</f>
        <v>159</v>
      </c>
      <c r="E157" s="95">
        <f>+D157-C157</f>
        <v>11</v>
      </c>
      <c r="F157" s="96">
        <f t="shared" si="38"/>
        <v>7.4324324324324328E-2</v>
      </c>
      <c r="G157" s="128">
        <f>6927250+365600</f>
        <v>7292850</v>
      </c>
      <c r="H157" s="128">
        <f>7631400+365600</f>
        <v>7997000</v>
      </c>
      <c r="I157" s="128">
        <f>+H157-G157</f>
        <v>704150</v>
      </c>
      <c r="J157" s="96">
        <f t="shared" si="37"/>
        <v>9.655347360771166E-2</v>
      </c>
    </row>
    <row r="158" spans="1:10" ht="16" hidden="1" thickBot="1" x14ac:dyDescent="0.4">
      <c r="A158" s="97">
        <v>43</v>
      </c>
      <c r="B158" s="98" t="s">
        <v>109</v>
      </c>
      <c r="C158" s="99">
        <f t="shared" ref="C158:G159" si="43">+C159</f>
        <v>2105</v>
      </c>
      <c r="D158" s="100">
        <f t="shared" si="43"/>
        <v>2172</v>
      </c>
      <c r="E158" s="100">
        <f>+E159</f>
        <v>67</v>
      </c>
      <c r="F158" s="101">
        <f t="shared" si="38"/>
        <v>3.1828978622327794E-2</v>
      </c>
      <c r="G158" s="129">
        <f>+G159</f>
        <v>88985978.75</v>
      </c>
      <c r="H158" s="129">
        <f>+H159</f>
        <v>92611009</v>
      </c>
      <c r="I158" s="129">
        <f>+I159</f>
        <v>3625030.25</v>
      </c>
      <c r="J158" s="101">
        <f t="shared" si="37"/>
        <v>4.0737094775169846E-2</v>
      </c>
    </row>
    <row r="159" spans="1:10" ht="16" thickBot="1" x14ac:dyDescent="0.4">
      <c r="A159" s="33">
        <v>4311</v>
      </c>
      <c r="B159" s="34" t="s">
        <v>154</v>
      </c>
      <c r="C159" s="35">
        <f t="shared" si="43"/>
        <v>2105</v>
      </c>
      <c r="D159" s="36">
        <f t="shared" si="43"/>
        <v>2172</v>
      </c>
      <c r="E159" s="36">
        <f>+E160</f>
        <v>67</v>
      </c>
      <c r="F159" s="37">
        <f t="shared" si="38"/>
        <v>3.1828978622327794E-2</v>
      </c>
      <c r="G159" s="116">
        <f t="shared" si="43"/>
        <v>88985978.75</v>
      </c>
      <c r="H159" s="116">
        <f>+H160</f>
        <v>92611009</v>
      </c>
      <c r="I159" s="116">
        <f>+I160</f>
        <v>3625030.25</v>
      </c>
      <c r="J159" s="37">
        <f t="shared" si="37"/>
        <v>4.0737094775169846E-2</v>
      </c>
    </row>
    <row r="160" spans="1:10" ht="33" hidden="1" customHeight="1" thickBot="1" x14ac:dyDescent="0.4">
      <c r="A160" s="86">
        <v>4311111</v>
      </c>
      <c r="B160" s="87" t="s">
        <v>155</v>
      </c>
      <c r="C160" s="47">
        <v>2105</v>
      </c>
      <c r="D160" s="48">
        <v>2172</v>
      </c>
      <c r="E160" s="41">
        <f>+D160-C160</f>
        <v>67</v>
      </c>
      <c r="F160" s="49">
        <f t="shared" si="38"/>
        <v>3.1828978622327794E-2</v>
      </c>
      <c r="G160" s="118">
        <f>88985978.75</f>
        <v>88985978.75</v>
      </c>
      <c r="H160" s="118">
        <f>92611009</f>
        <v>92611009</v>
      </c>
      <c r="I160" s="118">
        <f>+H160-G160</f>
        <v>3625030.25</v>
      </c>
      <c r="J160" s="49">
        <f t="shared" si="37"/>
        <v>4.0737094775169846E-2</v>
      </c>
    </row>
    <row r="161" spans="1:10" ht="12.75" hidden="1" customHeight="1" thickBot="1" x14ac:dyDescent="0.4">
      <c r="A161" s="85">
        <v>44</v>
      </c>
      <c r="B161" s="29" t="s">
        <v>123</v>
      </c>
      <c r="C161" s="30">
        <f t="shared" ref="C161:E162" si="44">+C162</f>
        <v>22</v>
      </c>
      <c r="D161" s="31">
        <f t="shared" si="44"/>
        <v>27</v>
      </c>
      <c r="E161" s="31">
        <f t="shared" si="44"/>
        <v>5</v>
      </c>
      <c r="F161" s="32">
        <f t="shared" si="38"/>
        <v>0.22727272727272727</v>
      </c>
      <c r="G161" s="115">
        <f t="shared" ref="G161:I162" si="45">+G162</f>
        <v>1157200</v>
      </c>
      <c r="H161" s="115">
        <f t="shared" si="45"/>
        <v>1336000</v>
      </c>
      <c r="I161" s="115">
        <f t="shared" si="45"/>
        <v>178800</v>
      </c>
      <c r="J161" s="32">
        <f t="shared" si="37"/>
        <v>0.15451088835119253</v>
      </c>
    </row>
    <row r="162" spans="1:10" ht="15.75" customHeight="1" thickBot="1" x14ac:dyDescent="0.4">
      <c r="A162" s="33">
        <v>4411</v>
      </c>
      <c r="B162" s="34" t="s">
        <v>156</v>
      </c>
      <c r="C162" s="35">
        <f t="shared" si="44"/>
        <v>22</v>
      </c>
      <c r="D162" s="36">
        <f t="shared" si="44"/>
        <v>27</v>
      </c>
      <c r="E162" s="36">
        <f t="shared" si="44"/>
        <v>5</v>
      </c>
      <c r="F162" s="37">
        <f t="shared" si="38"/>
        <v>0.22727272727272727</v>
      </c>
      <c r="G162" s="116">
        <f t="shared" si="45"/>
        <v>1157200</v>
      </c>
      <c r="H162" s="116">
        <f t="shared" si="45"/>
        <v>1336000</v>
      </c>
      <c r="I162" s="116">
        <f t="shared" si="45"/>
        <v>178800</v>
      </c>
      <c r="J162" s="37">
        <f t="shared" si="37"/>
        <v>0.15451088835119253</v>
      </c>
    </row>
    <row r="163" spans="1:10" ht="30" hidden="1" customHeight="1" thickBot="1" x14ac:dyDescent="0.4">
      <c r="A163" s="38">
        <v>4411111</v>
      </c>
      <c r="B163" s="39" t="s">
        <v>157</v>
      </c>
      <c r="C163" s="40">
        <v>22</v>
      </c>
      <c r="D163" s="41">
        <f>27</f>
        <v>27</v>
      </c>
      <c r="E163" s="41">
        <f>+D163-C163</f>
        <v>5</v>
      </c>
      <c r="F163" s="42">
        <f t="shared" si="38"/>
        <v>0.22727272727272727</v>
      </c>
      <c r="G163" s="117">
        <f>1157200</f>
        <v>1157200</v>
      </c>
      <c r="H163" s="117">
        <v>1336000</v>
      </c>
      <c r="I163" s="117">
        <f>+H163-G163</f>
        <v>178800</v>
      </c>
      <c r="J163" s="42">
        <f t="shared" si="37"/>
        <v>0.15451088835119253</v>
      </c>
    </row>
    <row r="164" spans="1:10" ht="12.75" hidden="1" customHeight="1" thickBot="1" x14ac:dyDescent="0.4">
      <c r="A164" s="102"/>
      <c r="B164" s="24" t="s">
        <v>158</v>
      </c>
      <c r="C164" s="25">
        <f>+C149+C142+C135+C8</f>
        <v>101573</v>
      </c>
      <c r="D164" s="103">
        <f>+D149+D142+D135+D8</f>
        <v>105811</v>
      </c>
      <c r="E164" s="103">
        <f>+E149+E142+E135+E8</f>
        <v>4238</v>
      </c>
      <c r="F164" s="104">
        <f>+E164/C164</f>
        <v>4.1723686412727792E-2</v>
      </c>
      <c r="G164" s="130">
        <f>+G149+G142+G135+G8</f>
        <v>3758730584.4200001</v>
      </c>
      <c r="H164" s="130">
        <f>+H149+H142+H135+H8</f>
        <v>3956259173.5</v>
      </c>
      <c r="I164" s="130">
        <f>+I149+I142+I135+I8</f>
        <v>197528589.07999998</v>
      </c>
      <c r="J164" s="105">
        <f>+I164/G164</f>
        <v>5.2551941311984214E-2</v>
      </c>
    </row>
    <row r="165" spans="1:10" ht="7.5" customHeight="1" x14ac:dyDescent="0.35">
      <c r="A165" s="106"/>
      <c r="B165" s="133"/>
      <c r="C165" s="107"/>
      <c r="D165" s="106"/>
      <c r="E165" s="106"/>
      <c r="F165" s="106"/>
      <c r="G165" s="131"/>
      <c r="H165" s="131"/>
      <c r="I165" s="131"/>
      <c r="J165" s="106"/>
    </row>
    <row r="166" spans="1:10" ht="12.75" customHeight="1" x14ac:dyDescent="0.35"/>
    <row r="168" spans="1:10" ht="12.75" customHeight="1" x14ac:dyDescent="0.35">
      <c r="D168" s="108"/>
      <c r="E168" s="108"/>
      <c r="F168" s="108"/>
      <c r="G168" s="15" t="s">
        <v>159</v>
      </c>
      <c r="H168" s="108"/>
    </row>
    <row r="176" spans="1:10" x14ac:dyDescent="0.35">
      <c r="E176" s="109"/>
      <c r="H176" s="110"/>
      <c r="I176" s="108"/>
    </row>
    <row r="177" spans="4:10" x14ac:dyDescent="0.35">
      <c r="H177" s="111"/>
      <c r="J177" s="112"/>
    </row>
    <row r="178" spans="4:10" x14ac:dyDescent="0.35">
      <c r="H178" s="113"/>
    </row>
    <row r="180" spans="4:10" x14ac:dyDescent="0.35">
      <c r="D180" s="15"/>
    </row>
  </sheetData>
  <autoFilter ref="A7:J164" xr:uid="{8A902AE3-07F6-452D-8F4A-D8B1024FF55D}">
    <filterColumn colId="0">
      <colorFilter dxfId="0"/>
    </filterColumn>
    <filterColumn colId="4" showButton="0"/>
    <filterColumn colId="8" showButton="0"/>
  </autoFilter>
  <mergeCells count="6">
    <mergeCell ref="A2:J2"/>
    <mergeCell ref="A3:J3"/>
    <mergeCell ref="A4:J4"/>
    <mergeCell ref="A5:J5"/>
    <mergeCell ref="E7:F7"/>
    <mergeCell ref="I7:J7"/>
  </mergeCells>
  <printOptions horizontalCentered="1"/>
  <pageMargins left="0" right="0" top="0.75" bottom="0.75" header="0.3" footer="0.3"/>
  <pageSetup scale="7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87648-9CF2-410A-B6B4-EE9E8B48AC8E}">
  <dimension ref="A1:B134"/>
  <sheetViews>
    <sheetView tabSelected="1" workbookViewId="0">
      <selection sqref="A1:B1"/>
    </sheetView>
  </sheetViews>
  <sheetFormatPr defaultColWidth="11.453125" defaultRowHeight="14.5" x14ac:dyDescent="0.35"/>
  <cols>
    <col min="1" max="1" width="36.81640625" style="2" customWidth="1"/>
    <col min="2" max="2" width="38.7265625" style="2" customWidth="1"/>
    <col min="3" max="16384" width="11.453125" style="2"/>
  </cols>
  <sheetData>
    <row r="1" spans="1:2" ht="18.5" x14ac:dyDescent="0.45">
      <c r="A1" s="1" t="s">
        <v>0</v>
      </c>
      <c r="B1" s="1"/>
    </row>
    <row r="4" spans="1:2" x14ac:dyDescent="0.35">
      <c r="A4" s="3" t="s">
        <v>1</v>
      </c>
      <c r="B4" s="4" t="s">
        <v>2</v>
      </c>
    </row>
    <row r="5" spans="1:2" x14ac:dyDescent="0.35">
      <c r="A5" s="5" t="s">
        <v>3</v>
      </c>
      <c r="B5" s="6">
        <v>181</v>
      </c>
    </row>
    <row r="6" spans="1:2" x14ac:dyDescent="0.35">
      <c r="A6" s="7" t="s">
        <v>4</v>
      </c>
      <c r="B6" s="8">
        <v>5</v>
      </c>
    </row>
    <row r="7" spans="1:2" x14ac:dyDescent="0.35">
      <c r="A7" s="7" t="s">
        <v>5</v>
      </c>
      <c r="B7" s="8">
        <v>24</v>
      </c>
    </row>
    <row r="8" spans="1:2" x14ac:dyDescent="0.35">
      <c r="A8" s="7" t="s">
        <v>6</v>
      </c>
      <c r="B8" s="8">
        <v>77</v>
      </c>
    </row>
    <row r="9" spans="1:2" x14ac:dyDescent="0.35">
      <c r="A9" s="7" t="s">
        <v>7</v>
      </c>
      <c r="B9" s="8">
        <v>75</v>
      </c>
    </row>
    <row r="10" spans="1:2" x14ac:dyDescent="0.35">
      <c r="A10" s="5" t="s">
        <v>8</v>
      </c>
      <c r="B10" s="6">
        <v>733</v>
      </c>
    </row>
    <row r="11" spans="1:2" x14ac:dyDescent="0.35">
      <c r="A11" s="7" t="s">
        <v>5</v>
      </c>
      <c r="B11" s="8">
        <v>128</v>
      </c>
    </row>
    <row r="12" spans="1:2" x14ac:dyDescent="0.35">
      <c r="A12" s="7" t="s">
        <v>6</v>
      </c>
      <c r="B12" s="8">
        <v>80</v>
      </c>
    </row>
    <row r="13" spans="1:2" x14ac:dyDescent="0.35">
      <c r="A13" s="7" t="s">
        <v>7</v>
      </c>
      <c r="B13" s="8">
        <v>525</v>
      </c>
    </row>
    <row r="14" spans="1:2" x14ac:dyDescent="0.35">
      <c r="A14" s="5" t="s">
        <v>9</v>
      </c>
      <c r="B14" s="6">
        <v>233</v>
      </c>
    </row>
    <row r="15" spans="1:2" x14ac:dyDescent="0.35">
      <c r="A15" s="7" t="s">
        <v>5</v>
      </c>
      <c r="B15" s="8">
        <v>28</v>
      </c>
    </row>
    <row r="16" spans="1:2" x14ac:dyDescent="0.35">
      <c r="A16" s="7" t="s">
        <v>6</v>
      </c>
      <c r="B16" s="8">
        <v>98</v>
      </c>
    </row>
    <row r="17" spans="1:2" x14ac:dyDescent="0.35">
      <c r="A17" s="7" t="s">
        <v>7</v>
      </c>
      <c r="B17" s="8">
        <v>107</v>
      </c>
    </row>
    <row r="18" spans="1:2" x14ac:dyDescent="0.35">
      <c r="A18" s="5" t="s">
        <v>10</v>
      </c>
      <c r="B18" s="6">
        <v>342</v>
      </c>
    </row>
    <row r="19" spans="1:2" x14ac:dyDescent="0.35">
      <c r="A19" s="7" t="s">
        <v>5</v>
      </c>
      <c r="B19" s="8">
        <v>31</v>
      </c>
    </row>
    <row r="20" spans="1:2" x14ac:dyDescent="0.35">
      <c r="A20" s="7" t="s">
        <v>6</v>
      </c>
      <c r="B20" s="8">
        <v>210</v>
      </c>
    </row>
    <row r="21" spans="1:2" x14ac:dyDescent="0.35">
      <c r="A21" s="7" t="s">
        <v>7</v>
      </c>
      <c r="B21" s="8">
        <v>101</v>
      </c>
    </row>
    <row r="22" spans="1:2" x14ac:dyDescent="0.35">
      <c r="A22" s="5" t="s">
        <v>11</v>
      </c>
      <c r="B22" s="6">
        <v>100</v>
      </c>
    </row>
    <row r="23" spans="1:2" x14ac:dyDescent="0.35">
      <c r="A23" s="7" t="s">
        <v>5</v>
      </c>
      <c r="B23" s="8">
        <v>18</v>
      </c>
    </row>
    <row r="24" spans="1:2" x14ac:dyDescent="0.35">
      <c r="A24" s="7" t="s">
        <v>6</v>
      </c>
      <c r="B24" s="8">
        <v>28</v>
      </c>
    </row>
    <row r="25" spans="1:2" x14ac:dyDescent="0.35">
      <c r="A25" s="7" t="s">
        <v>7</v>
      </c>
      <c r="B25" s="8">
        <v>54</v>
      </c>
    </row>
    <row r="26" spans="1:2" x14ac:dyDescent="0.35">
      <c r="A26" s="5" t="s">
        <v>12</v>
      </c>
      <c r="B26" s="6">
        <v>134</v>
      </c>
    </row>
    <row r="27" spans="1:2" x14ac:dyDescent="0.35">
      <c r="A27" s="7" t="s">
        <v>5</v>
      </c>
      <c r="B27" s="8">
        <v>19</v>
      </c>
    </row>
    <row r="28" spans="1:2" x14ac:dyDescent="0.35">
      <c r="A28" s="7" t="s">
        <v>6</v>
      </c>
      <c r="B28" s="8">
        <v>50</v>
      </c>
    </row>
    <row r="29" spans="1:2" x14ac:dyDescent="0.35">
      <c r="A29" s="7" t="s">
        <v>7</v>
      </c>
      <c r="B29" s="8">
        <v>65</v>
      </c>
    </row>
    <row r="30" spans="1:2" x14ac:dyDescent="0.35">
      <c r="A30" s="5" t="s">
        <v>13</v>
      </c>
      <c r="B30" s="6">
        <v>31</v>
      </c>
    </row>
    <row r="31" spans="1:2" x14ac:dyDescent="0.35">
      <c r="A31" s="7" t="s">
        <v>5</v>
      </c>
      <c r="B31" s="8">
        <v>6</v>
      </c>
    </row>
    <row r="32" spans="1:2" x14ac:dyDescent="0.35">
      <c r="A32" s="7" t="s">
        <v>6</v>
      </c>
      <c r="B32" s="8">
        <v>11</v>
      </c>
    </row>
    <row r="33" spans="1:2" x14ac:dyDescent="0.35">
      <c r="A33" s="7" t="s">
        <v>7</v>
      </c>
      <c r="B33" s="8">
        <v>14</v>
      </c>
    </row>
    <row r="34" spans="1:2" x14ac:dyDescent="0.35">
      <c r="A34" s="5" t="s">
        <v>14</v>
      </c>
      <c r="B34" s="6">
        <v>2895</v>
      </c>
    </row>
    <row r="35" spans="1:2" x14ac:dyDescent="0.35">
      <c r="A35" s="7" t="s">
        <v>4</v>
      </c>
      <c r="B35" s="8">
        <v>34</v>
      </c>
    </row>
    <row r="36" spans="1:2" x14ac:dyDescent="0.35">
      <c r="A36" s="7" t="s">
        <v>5</v>
      </c>
      <c r="B36" s="8">
        <v>204</v>
      </c>
    </row>
    <row r="37" spans="1:2" x14ac:dyDescent="0.35">
      <c r="A37" s="7" t="s">
        <v>6</v>
      </c>
      <c r="B37" s="8">
        <v>948</v>
      </c>
    </row>
    <row r="38" spans="1:2" x14ac:dyDescent="0.35">
      <c r="A38" s="7" t="s">
        <v>7</v>
      </c>
      <c r="B38" s="8">
        <v>1709</v>
      </c>
    </row>
    <row r="39" spans="1:2" x14ac:dyDescent="0.35">
      <c r="A39" s="5" t="s">
        <v>15</v>
      </c>
      <c r="B39" s="6">
        <v>15</v>
      </c>
    </row>
    <row r="40" spans="1:2" x14ac:dyDescent="0.35">
      <c r="A40" s="7" t="s">
        <v>5</v>
      </c>
      <c r="B40" s="8">
        <v>2</v>
      </c>
    </row>
    <row r="41" spans="1:2" x14ac:dyDescent="0.35">
      <c r="A41" s="7" t="s">
        <v>6</v>
      </c>
      <c r="B41" s="8">
        <v>2</v>
      </c>
    </row>
    <row r="42" spans="1:2" x14ac:dyDescent="0.35">
      <c r="A42" s="7" t="s">
        <v>7</v>
      </c>
      <c r="B42" s="8">
        <v>11</v>
      </c>
    </row>
    <row r="43" spans="1:2" x14ac:dyDescent="0.35">
      <c r="A43" s="5" t="s">
        <v>16</v>
      </c>
      <c r="B43" s="6">
        <v>157</v>
      </c>
    </row>
    <row r="44" spans="1:2" x14ac:dyDescent="0.35">
      <c r="A44" s="7" t="s">
        <v>4</v>
      </c>
      <c r="B44" s="8">
        <v>8</v>
      </c>
    </row>
    <row r="45" spans="1:2" x14ac:dyDescent="0.35">
      <c r="A45" s="7" t="s">
        <v>5</v>
      </c>
      <c r="B45" s="8">
        <v>48</v>
      </c>
    </row>
    <row r="46" spans="1:2" x14ac:dyDescent="0.35">
      <c r="A46" s="7" t="s">
        <v>6</v>
      </c>
      <c r="B46" s="8">
        <v>43</v>
      </c>
    </row>
    <row r="47" spans="1:2" x14ac:dyDescent="0.35">
      <c r="A47" s="7" t="s">
        <v>7</v>
      </c>
      <c r="B47" s="8">
        <v>58</v>
      </c>
    </row>
    <row r="48" spans="1:2" x14ac:dyDescent="0.35">
      <c r="A48" s="5" t="s">
        <v>17</v>
      </c>
      <c r="B48" s="6">
        <v>30</v>
      </c>
    </row>
    <row r="49" spans="1:2" x14ac:dyDescent="0.35">
      <c r="A49" s="7" t="s">
        <v>4</v>
      </c>
      <c r="B49" s="8">
        <v>1</v>
      </c>
    </row>
    <row r="50" spans="1:2" x14ac:dyDescent="0.35">
      <c r="A50" s="7" t="s">
        <v>5</v>
      </c>
      <c r="B50" s="8">
        <v>1</v>
      </c>
    </row>
    <row r="51" spans="1:2" x14ac:dyDescent="0.35">
      <c r="A51" s="7" t="s">
        <v>6</v>
      </c>
      <c r="B51" s="8">
        <v>2</v>
      </c>
    </row>
    <row r="52" spans="1:2" x14ac:dyDescent="0.35">
      <c r="A52" s="7" t="s">
        <v>7</v>
      </c>
      <c r="B52" s="8">
        <v>26</v>
      </c>
    </row>
    <row r="53" spans="1:2" x14ac:dyDescent="0.35">
      <c r="A53" s="5" t="s">
        <v>18</v>
      </c>
      <c r="B53" s="6">
        <v>129</v>
      </c>
    </row>
    <row r="54" spans="1:2" x14ac:dyDescent="0.35">
      <c r="A54" s="7" t="s">
        <v>4</v>
      </c>
      <c r="B54" s="8">
        <v>12</v>
      </c>
    </row>
    <row r="55" spans="1:2" x14ac:dyDescent="0.35">
      <c r="A55" s="7" t="s">
        <v>5</v>
      </c>
      <c r="B55" s="8">
        <v>7</v>
      </c>
    </row>
    <row r="56" spans="1:2" x14ac:dyDescent="0.35">
      <c r="A56" s="7" t="s">
        <v>6</v>
      </c>
      <c r="B56" s="8">
        <v>36</v>
      </c>
    </row>
    <row r="57" spans="1:2" x14ac:dyDescent="0.35">
      <c r="A57" s="7" t="s">
        <v>7</v>
      </c>
      <c r="B57" s="8">
        <v>74</v>
      </c>
    </row>
    <row r="58" spans="1:2" x14ac:dyDescent="0.35">
      <c r="A58" s="5" t="s">
        <v>19</v>
      </c>
      <c r="B58" s="6">
        <v>373</v>
      </c>
    </row>
    <row r="59" spans="1:2" x14ac:dyDescent="0.35">
      <c r="A59" s="7" t="s">
        <v>5</v>
      </c>
      <c r="B59" s="8">
        <v>56</v>
      </c>
    </row>
    <row r="60" spans="1:2" x14ac:dyDescent="0.35">
      <c r="A60" s="7" t="s">
        <v>6</v>
      </c>
      <c r="B60" s="8">
        <v>200</v>
      </c>
    </row>
    <row r="61" spans="1:2" x14ac:dyDescent="0.35">
      <c r="A61" s="7" t="s">
        <v>7</v>
      </c>
      <c r="B61" s="8">
        <v>117</v>
      </c>
    </row>
    <row r="62" spans="1:2" x14ac:dyDescent="0.35">
      <c r="A62" s="5" t="s">
        <v>20</v>
      </c>
      <c r="B62" s="6">
        <v>101</v>
      </c>
    </row>
    <row r="63" spans="1:2" x14ac:dyDescent="0.35">
      <c r="A63" s="7" t="s">
        <v>4</v>
      </c>
      <c r="B63" s="8">
        <v>1</v>
      </c>
    </row>
    <row r="64" spans="1:2" x14ac:dyDescent="0.35">
      <c r="A64" s="7" t="s">
        <v>5</v>
      </c>
      <c r="B64" s="8">
        <v>23</v>
      </c>
    </row>
    <row r="65" spans="1:2" x14ac:dyDescent="0.35">
      <c r="A65" s="7" t="s">
        <v>6</v>
      </c>
      <c r="B65" s="8">
        <v>17</v>
      </c>
    </row>
    <row r="66" spans="1:2" x14ac:dyDescent="0.35">
      <c r="A66" s="7" t="s">
        <v>7</v>
      </c>
      <c r="B66" s="8">
        <v>60</v>
      </c>
    </row>
    <row r="67" spans="1:2" x14ac:dyDescent="0.35">
      <c r="A67" s="5" t="s">
        <v>21</v>
      </c>
      <c r="B67" s="6">
        <v>9609</v>
      </c>
    </row>
    <row r="68" spans="1:2" x14ac:dyDescent="0.35">
      <c r="A68" s="7" t="s">
        <v>4</v>
      </c>
      <c r="B68" s="8">
        <v>8</v>
      </c>
    </row>
    <row r="69" spans="1:2" x14ac:dyDescent="0.35">
      <c r="A69" s="7" t="s">
        <v>5</v>
      </c>
      <c r="B69" s="8">
        <v>132</v>
      </c>
    </row>
    <row r="70" spans="1:2" x14ac:dyDescent="0.35">
      <c r="A70" s="7" t="s">
        <v>6</v>
      </c>
      <c r="B70" s="8">
        <v>962</v>
      </c>
    </row>
    <row r="71" spans="1:2" x14ac:dyDescent="0.35">
      <c r="A71" s="7" t="s">
        <v>7</v>
      </c>
      <c r="B71" s="8">
        <v>8507</v>
      </c>
    </row>
    <row r="72" spans="1:2" x14ac:dyDescent="0.35">
      <c r="A72" s="5" t="s">
        <v>22</v>
      </c>
      <c r="B72" s="6">
        <v>467</v>
      </c>
    </row>
    <row r="73" spans="1:2" x14ac:dyDescent="0.35">
      <c r="A73" s="7" t="s">
        <v>5</v>
      </c>
      <c r="B73" s="8">
        <v>55</v>
      </c>
    </row>
    <row r="74" spans="1:2" x14ac:dyDescent="0.35">
      <c r="A74" s="7" t="s">
        <v>6</v>
      </c>
      <c r="B74" s="8">
        <v>264</v>
      </c>
    </row>
    <row r="75" spans="1:2" x14ac:dyDescent="0.35">
      <c r="A75" s="7" t="s">
        <v>7</v>
      </c>
      <c r="B75" s="8">
        <v>148</v>
      </c>
    </row>
    <row r="76" spans="1:2" x14ac:dyDescent="0.35">
      <c r="A76" s="5" t="s">
        <v>23</v>
      </c>
      <c r="B76" s="6">
        <v>2828</v>
      </c>
    </row>
    <row r="77" spans="1:2" x14ac:dyDescent="0.35">
      <c r="A77" s="7" t="s">
        <v>5</v>
      </c>
      <c r="B77" s="8">
        <v>88</v>
      </c>
    </row>
    <row r="78" spans="1:2" x14ac:dyDescent="0.35">
      <c r="A78" s="7" t="s">
        <v>6</v>
      </c>
      <c r="B78" s="8">
        <v>1642</v>
      </c>
    </row>
    <row r="79" spans="1:2" x14ac:dyDescent="0.35">
      <c r="A79" s="7" t="s">
        <v>7</v>
      </c>
      <c r="B79" s="8">
        <v>1098</v>
      </c>
    </row>
    <row r="80" spans="1:2" x14ac:dyDescent="0.35">
      <c r="A80" s="5" t="s">
        <v>24</v>
      </c>
      <c r="B80" s="6">
        <v>61</v>
      </c>
    </row>
    <row r="81" spans="1:2" x14ac:dyDescent="0.35">
      <c r="A81" s="7" t="s">
        <v>5</v>
      </c>
      <c r="B81" s="8">
        <v>13</v>
      </c>
    </row>
    <row r="82" spans="1:2" x14ac:dyDescent="0.35">
      <c r="A82" s="7" t="s">
        <v>6</v>
      </c>
      <c r="B82" s="8">
        <v>20</v>
      </c>
    </row>
    <row r="83" spans="1:2" x14ac:dyDescent="0.35">
      <c r="A83" s="7" t="s">
        <v>7</v>
      </c>
      <c r="B83" s="8">
        <v>28</v>
      </c>
    </row>
    <row r="84" spans="1:2" x14ac:dyDescent="0.35">
      <c r="A84" s="5" t="s">
        <v>25</v>
      </c>
      <c r="B84" s="6">
        <v>130</v>
      </c>
    </row>
    <row r="85" spans="1:2" x14ac:dyDescent="0.35">
      <c r="A85" s="7" t="s">
        <v>4</v>
      </c>
      <c r="B85" s="8">
        <v>4</v>
      </c>
    </row>
    <row r="86" spans="1:2" x14ac:dyDescent="0.35">
      <c r="A86" s="7" t="s">
        <v>5</v>
      </c>
      <c r="B86" s="8">
        <v>21</v>
      </c>
    </row>
    <row r="87" spans="1:2" x14ac:dyDescent="0.35">
      <c r="A87" s="7" t="s">
        <v>6</v>
      </c>
      <c r="B87" s="8">
        <v>49</v>
      </c>
    </row>
    <row r="88" spans="1:2" x14ac:dyDescent="0.35">
      <c r="A88" s="7" t="s">
        <v>7</v>
      </c>
      <c r="B88" s="8">
        <v>56</v>
      </c>
    </row>
    <row r="89" spans="1:2" x14ac:dyDescent="0.35">
      <c r="A89" s="5" t="s">
        <v>26</v>
      </c>
      <c r="B89" s="6">
        <v>52</v>
      </c>
    </row>
    <row r="90" spans="1:2" x14ac:dyDescent="0.35">
      <c r="A90" s="7" t="s">
        <v>5</v>
      </c>
      <c r="B90" s="8">
        <v>6</v>
      </c>
    </row>
    <row r="91" spans="1:2" x14ac:dyDescent="0.35">
      <c r="A91" s="7" t="s">
        <v>6</v>
      </c>
      <c r="B91" s="8">
        <v>27</v>
      </c>
    </row>
    <row r="92" spans="1:2" x14ac:dyDescent="0.35">
      <c r="A92" s="7" t="s">
        <v>7</v>
      </c>
      <c r="B92" s="8">
        <v>19</v>
      </c>
    </row>
    <row r="93" spans="1:2" x14ac:dyDescent="0.35">
      <c r="A93" s="5" t="s">
        <v>27</v>
      </c>
      <c r="B93" s="6">
        <v>235</v>
      </c>
    </row>
    <row r="94" spans="1:2" x14ac:dyDescent="0.35">
      <c r="A94" s="7" t="s">
        <v>5</v>
      </c>
      <c r="B94" s="8">
        <v>28</v>
      </c>
    </row>
    <row r="95" spans="1:2" x14ac:dyDescent="0.35">
      <c r="A95" s="7" t="s">
        <v>6</v>
      </c>
      <c r="B95" s="8">
        <v>100</v>
      </c>
    </row>
    <row r="96" spans="1:2" x14ac:dyDescent="0.35">
      <c r="A96" s="7" t="s">
        <v>7</v>
      </c>
      <c r="B96" s="8">
        <v>107</v>
      </c>
    </row>
    <row r="97" spans="1:2" x14ac:dyDescent="0.35">
      <c r="A97" s="5" t="s">
        <v>28</v>
      </c>
      <c r="B97" s="6">
        <v>79</v>
      </c>
    </row>
    <row r="98" spans="1:2" x14ac:dyDescent="0.35">
      <c r="A98" s="7" t="s">
        <v>5</v>
      </c>
      <c r="B98" s="8">
        <v>14</v>
      </c>
    </row>
    <row r="99" spans="1:2" x14ac:dyDescent="0.35">
      <c r="A99" s="7" t="s">
        <v>6</v>
      </c>
      <c r="B99" s="8">
        <v>28</v>
      </c>
    </row>
    <row r="100" spans="1:2" x14ac:dyDescent="0.35">
      <c r="A100" s="7" t="s">
        <v>7</v>
      </c>
      <c r="B100" s="8">
        <v>37</v>
      </c>
    </row>
    <row r="101" spans="1:2" x14ac:dyDescent="0.35">
      <c r="A101" s="5" t="s">
        <v>29</v>
      </c>
      <c r="B101" s="6">
        <v>133</v>
      </c>
    </row>
    <row r="102" spans="1:2" x14ac:dyDescent="0.35">
      <c r="A102" s="7" t="s">
        <v>4</v>
      </c>
      <c r="B102" s="8">
        <v>1</v>
      </c>
    </row>
    <row r="103" spans="1:2" x14ac:dyDescent="0.35">
      <c r="A103" s="7" t="s">
        <v>5</v>
      </c>
      <c r="B103" s="8">
        <v>15</v>
      </c>
    </row>
    <row r="104" spans="1:2" x14ac:dyDescent="0.35">
      <c r="A104" s="7" t="s">
        <v>6</v>
      </c>
      <c r="B104" s="8">
        <v>9</v>
      </c>
    </row>
    <row r="105" spans="1:2" x14ac:dyDescent="0.35">
      <c r="A105" s="7" t="s">
        <v>7</v>
      </c>
      <c r="B105" s="8">
        <v>108</v>
      </c>
    </row>
    <row r="106" spans="1:2" x14ac:dyDescent="0.35">
      <c r="A106" s="5" t="s">
        <v>30</v>
      </c>
      <c r="B106" s="6">
        <v>243</v>
      </c>
    </row>
    <row r="107" spans="1:2" x14ac:dyDescent="0.35">
      <c r="A107" s="7" t="s">
        <v>4</v>
      </c>
      <c r="B107" s="8">
        <v>2</v>
      </c>
    </row>
    <row r="108" spans="1:2" x14ac:dyDescent="0.35">
      <c r="A108" s="7" t="s">
        <v>5</v>
      </c>
      <c r="B108" s="8">
        <v>6</v>
      </c>
    </row>
    <row r="109" spans="1:2" x14ac:dyDescent="0.35">
      <c r="A109" s="7" t="s">
        <v>6</v>
      </c>
      <c r="B109" s="8">
        <v>33</v>
      </c>
    </row>
    <row r="110" spans="1:2" x14ac:dyDescent="0.35">
      <c r="A110" s="7" t="s">
        <v>7</v>
      </c>
      <c r="B110" s="8">
        <v>202</v>
      </c>
    </row>
    <row r="111" spans="1:2" x14ac:dyDescent="0.35">
      <c r="A111" s="5" t="s">
        <v>31</v>
      </c>
      <c r="B111" s="6">
        <v>348</v>
      </c>
    </row>
    <row r="112" spans="1:2" x14ac:dyDescent="0.35">
      <c r="A112" s="7" t="s">
        <v>4</v>
      </c>
      <c r="B112" s="8">
        <v>78</v>
      </c>
    </row>
    <row r="113" spans="1:2" x14ac:dyDescent="0.35">
      <c r="A113" s="7" t="s">
        <v>5</v>
      </c>
      <c r="B113" s="8">
        <v>133</v>
      </c>
    </row>
    <row r="114" spans="1:2" x14ac:dyDescent="0.35">
      <c r="A114" s="7" t="s">
        <v>6</v>
      </c>
      <c r="B114" s="8">
        <v>12</v>
      </c>
    </row>
    <row r="115" spans="1:2" x14ac:dyDescent="0.35">
      <c r="A115" s="7" t="s">
        <v>7</v>
      </c>
      <c r="B115" s="8">
        <v>125</v>
      </c>
    </row>
    <row r="116" spans="1:2" x14ac:dyDescent="0.35">
      <c r="A116" s="5" t="s">
        <v>32</v>
      </c>
      <c r="B116" s="6">
        <v>62</v>
      </c>
    </row>
    <row r="117" spans="1:2" x14ac:dyDescent="0.35">
      <c r="A117" s="7" t="s">
        <v>5</v>
      </c>
      <c r="B117" s="8">
        <v>14</v>
      </c>
    </row>
    <row r="118" spans="1:2" x14ac:dyDescent="0.35">
      <c r="A118" s="7" t="s">
        <v>7</v>
      </c>
      <c r="B118" s="8">
        <v>48</v>
      </c>
    </row>
    <row r="119" spans="1:2" x14ac:dyDescent="0.35">
      <c r="A119" s="5" t="s">
        <v>33</v>
      </c>
      <c r="B119" s="6">
        <v>4</v>
      </c>
    </row>
    <row r="120" spans="1:2" x14ac:dyDescent="0.35">
      <c r="A120" s="7" t="s">
        <v>6</v>
      </c>
      <c r="B120" s="8">
        <v>2</v>
      </c>
    </row>
    <row r="121" spans="1:2" x14ac:dyDescent="0.35">
      <c r="A121" s="7" t="s">
        <v>7</v>
      </c>
      <c r="B121" s="8">
        <v>2</v>
      </c>
    </row>
    <row r="122" spans="1:2" x14ac:dyDescent="0.35">
      <c r="A122" s="5" t="s">
        <v>34</v>
      </c>
      <c r="B122" s="6">
        <v>17</v>
      </c>
    </row>
    <row r="123" spans="1:2" x14ac:dyDescent="0.35">
      <c r="A123" s="7" t="s">
        <v>5</v>
      </c>
      <c r="B123" s="8">
        <v>4</v>
      </c>
    </row>
    <row r="124" spans="1:2" x14ac:dyDescent="0.35">
      <c r="A124" s="7" t="s">
        <v>6</v>
      </c>
      <c r="B124" s="8">
        <v>3</v>
      </c>
    </row>
    <row r="125" spans="1:2" x14ac:dyDescent="0.35">
      <c r="A125" s="7" t="s">
        <v>7</v>
      </c>
      <c r="B125" s="8">
        <v>10</v>
      </c>
    </row>
    <row r="126" spans="1:2" x14ac:dyDescent="0.35">
      <c r="A126" s="5" t="s">
        <v>35</v>
      </c>
      <c r="B126" s="6">
        <v>611</v>
      </c>
    </row>
    <row r="127" spans="1:2" x14ac:dyDescent="0.35">
      <c r="A127" s="7" t="s">
        <v>4</v>
      </c>
      <c r="B127" s="8">
        <v>104</v>
      </c>
    </row>
    <row r="128" spans="1:2" x14ac:dyDescent="0.35">
      <c r="A128" s="7" t="s">
        <v>5</v>
      </c>
      <c r="B128" s="8">
        <v>18</v>
      </c>
    </row>
    <row r="129" spans="1:2" x14ac:dyDescent="0.35">
      <c r="A129" s="7" t="s">
        <v>6</v>
      </c>
      <c r="B129" s="8">
        <v>191</v>
      </c>
    </row>
    <row r="130" spans="1:2" x14ac:dyDescent="0.35">
      <c r="A130" s="7" t="s">
        <v>7</v>
      </c>
      <c r="B130" s="8">
        <v>298</v>
      </c>
    </row>
    <row r="131" spans="1:2" x14ac:dyDescent="0.35">
      <c r="A131" s="5" t="s">
        <v>36</v>
      </c>
      <c r="B131" s="6">
        <v>3</v>
      </c>
    </row>
    <row r="132" spans="1:2" x14ac:dyDescent="0.35">
      <c r="A132" s="7" t="s">
        <v>4</v>
      </c>
      <c r="B132" s="8">
        <v>1</v>
      </c>
    </row>
    <row r="133" spans="1:2" x14ac:dyDescent="0.35">
      <c r="A133" s="7" t="s">
        <v>7</v>
      </c>
      <c r="B133" s="8">
        <v>2</v>
      </c>
    </row>
    <row r="134" spans="1:2" x14ac:dyDescent="0.35">
      <c r="A134" s="9" t="s">
        <v>37</v>
      </c>
      <c r="B134" s="10">
        <v>20336</v>
      </c>
    </row>
  </sheetData>
  <mergeCells count="1">
    <mergeCell ref="A1:B1"/>
  </mergeCells>
  <printOptions horizontalCentered="1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Comp.annuelle Sept 25 vs 26</vt:lpstr>
      <vt:lpstr>EV. PENS. PAR CATEGORIE (EXCEL)</vt:lpstr>
      <vt:lpstr>'Comp.annuelle Sept 25 vs 26'!Print_Area</vt:lpstr>
      <vt:lpstr>'Comp.annuelle Sept 25 vs 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Michel Silin</dc:creator>
  <cp:lastModifiedBy>Jean Michel Silin</cp:lastModifiedBy>
  <cp:lastPrinted>2026-10-25T18:19:36Z</cp:lastPrinted>
  <dcterms:created xsi:type="dcterms:W3CDTF">2026-10-25T17:40:00Z</dcterms:created>
  <dcterms:modified xsi:type="dcterms:W3CDTF">2026-10-25T18:24:46Z</dcterms:modified>
</cp:coreProperties>
</file>